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225" windowHeight="5730" activeTab="0"/>
  </bookViews>
  <sheets>
    <sheet name="m glavni 32" sheetId="1" r:id="rId1"/>
    <sheet name="ž glavni 32" sheetId="2" r:id="rId2"/>
    <sheet name="m dvojice 16" sheetId="3" r:id="rId3"/>
    <sheet name="ž dvojice 16" sheetId="4" r:id="rId4"/>
    <sheet name="m kvalifikacije 32" sheetId="5" r:id="rId5"/>
    <sheet name="ž kvalifikacije 32" sheetId="6" r:id="rId6"/>
  </sheets>
  <externalReferences>
    <externalReference r:id="rId9"/>
  </externalReferences>
  <definedNames>
    <definedName name="_Order1" hidden="1">255</definedName>
    <definedName name="A">#REF!</definedName>
    <definedName name="aNJA">#REF!</definedName>
    <definedName name="B">#REF!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'm dvojice 16'!$A$1:$Q$79</definedName>
    <definedName name="_xlnm.Print_Area" localSheetId="0">'m glavni 32'!$A$1:$Q$79</definedName>
    <definedName name="_xlnm.Print_Area" localSheetId="4">'m kvalifikacije 32'!$A$1:$Q$79</definedName>
    <definedName name="_xlnm.Print_Area" localSheetId="3">'ž dvojice 16'!$A$1:$Q$79</definedName>
    <definedName name="_xlnm.Print_Area" localSheetId="1">'ž glavni 32'!$A$1:$Q$79</definedName>
    <definedName name="_xlnm.Print_Area" localSheetId="5">'ž kvalifikacije 32'!$A$1:$Q$79</definedName>
  </definedNames>
  <calcPr fullCalcOnLoad="1"/>
</workbook>
</file>

<file path=xl/comments1.xml><?xml version="1.0" encoding="utf-8"?>
<comments xmlns="http://schemas.openxmlformats.org/spreadsheetml/2006/main">
  <authors>
    <author>mta</author>
  </authors>
  <commentLis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List>
</comments>
</file>

<file path=xl/comments2.xml><?xml version="1.0" encoding="utf-8"?>
<comments xmlns="http://schemas.openxmlformats.org/spreadsheetml/2006/main">
  <authors>
    <author>mta</author>
  </authors>
  <commentList>
    <comment ref="Q63" authorId="0">
      <text>
        <r>
          <rPr>
            <sz val="8"/>
            <color indexed="10"/>
            <rFont val="Tahoma"/>
            <family val="2"/>
          </rPr>
          <t xml:space="preserve">Rang turnirja v glavi turnirja mora biti enak rangu turnirja v tej celici! Popravi na listu za vnos podatkov, ne v tej celici!!
</t>
        </r>
        <r>
          <rPr>
            <sz val="8"/>
            <rFont val="Tahoma"/>
            <family val="2"/>
          </rPr>
          <t xml:space="preserve">
</t>
        </r>
        <r>
          <rPr>
            <sz val="8"/>
            <color indexed="10"/>
            <rFont val="Tahoma"/>
            <family val="2"/>
          </rPr>
          <t xml:space="preserve">Dejanski rang turnirja </t>
        </r>
        <r>
          <rPr>
            <u val="single"/>
            <sz val="8"/>
            <color indexed="10"/>
            <rFont val="Tahoma"/>
            <family val="2"/>
          </rPr>
          <t>ne sme biti nižj</t>
        </r>
        <r>
          <rPr>
            <sz val="8"/>
            <color indexed="10"/>
            <rFont val="Tahoma"/>
            <family val="2"/>
          </rPr>
          <t>i od prvotno razpisanega ranga,</t>
        </r>
        <r>
          <rPr>
            <u val="single"/>
            <sz val="8"/>
            <color indexed="10"/>
            <rFont val="Tahoma"/>
            <family val="2"/>
          </rPr>
          <t xml:space="preserve"> mora pa biti višji</t>
        </r>
        <r>
          <rPr>
            <sz val="8"/>
            <color indexed="10"/>
            <rFont val="Tahoma"/>
            <family val="2"/>
          </rPr>
          <t xml:space="preserve">, če tako pokaže seštevek jakosti prvih štirih igralcev, ki </t>
        </r>
        <r>
          <rPr>
            <u val="single"/>
            <sz val="8"/>
            <color indexed="10"/>
            <rFont val="Tahoma"/>
            <family val="2"/>
          </rPr>
          <t>igrajo</t>
        </r>
        <r>
          <rPr>
            <sz val="8"/>
            <color indexed="10"/>
            <rFont val="Tahoma"/>
            <family val="2"/>
          </rPr>
          <t xml:space="preserve"> na turnirju.
Rang 1: seštevek vključno 310 ali več
Rang 2: seštevek med vključno 220 in 300
Rang 3: seštevek vključno 210 ali manj</t>
        </r>
        <r>
          <rPr>
            <sz val="8"/>
            <rFont val="Tahoma"/>
            <family val="2"/>
          </rPr>
          <t xml:space="preserve">
</t>
        </r>
      </text>
    </comment>
    <comment ref="Q72" authorId="0">
      <text>
        <r>
          <rPr>
            <b/>
            <sz val="8"/>
            <color indexed="10"/>
            <rFont val="Tahoma"/>
            <family val="2"/>
          </rPr>
          <t>Napiši ime in priimek ter mesto na lestvici igralke, ki se je zadnja neposredno (status D) uvrstila v žreb.
Primer:
Katarina Srebotnik (23)</t>
        </r>
      </text>
    </commen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P71" authorId="0">
      <text>
        <r>
          <rPr>
            <b/>
            <sz val="8"/>
            <color indexed="10"/>
            <rFont val="Tahoma"/>
            <family val="2"/>
          </rPr>
          <t xml:space="preserve">Za pravilen vnos časa napiši datum in čas. 
Primer: 12.5.2008 ob 17.30
</t>
        </r>
      </text>
    </comment>
  </commentList>
</comments>
</file>

<file path=xl/comments3.xml><?xml version="1.0" encoding="utf-8"?>
<comments xmlns="http://schemas.openxmlformats.org/spreadsheetml/2006/main">
  <authors>
    <author>mta</author>
  </authors>
  <commentList>
    <comment ref="Q72" authorId="0">
      <text>
        <r>
          <rPr>
            <b/>
            <sz val="8"/>
            <color indexed="10"/>
            <rFont val="Tahoma"/>
            <family val="2"/>
          </rPr>
          <t>Napiši priimka ter seštevek mest (na jakostni lestvici za posameznike) dvojice, ki se je zadnja neposredno (status D) uvrstila v žreb.
Primer:
Žemlja/Tkalec (28)</t>
        </r>
      </text>
    </commen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6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List>
</comments>
</file>

<file path=xl/comments4.xml><?xml version="1.0" encoding="utf-8"?>
<comments xmlns="http://schemas.openxmlformats.org/spreadsheetml/2006/main">
  <authors>
    <author>mta</author>
  </authors>
  <commentList>
    <comment ref="Q72" authorId="0">
      <text>
        <r>
          <rPr>
            <b/>
            <sz val="8"/>
            <color indexed="10"/>
            <rFont val="Tahoma"/>
            <family val="2"/>
          </rPr>
          <t>Napiši priimka ter seštevek mest (na jakostni lestvici za posameznike) dvojice, ki se je zadnja neposredno (status D) uvrstila v žreb.
Primer:
Žemlja/Tkalec (28)</t>
        </r>
      </text>
    </commen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6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List>
</comments>
</file>

<file path=xl/comments5.xml><?xml version="1.0" encoding="utf-8"?>
<comments xmlns="http://schemas.openxmlformats.org/spreadsheetml/2006/main">
  <authors>
    <author>mta</author>
  </authors>
  <commentList>
    <comment ref="Q62" authorId="0">
      <text>
        <r>
          <rPr>
            <sz val="8"/>
            <color indexed="10"/>
            <rFont val="Tahoma"/>
            <family val="2"/>
          </rPr>
          <t>Rang turnirja v glavi turnirja mora biti enak rangu turnirja v tej tabeli!! Preveri!!</t>
        </r>
        <r>
          <rPr>
            <sz val="8"/>
            <rFont val="Tahoma"/>
            <family val="2"/>
          </rPr>
          <t xml:space="preserve">
</t>
        </r>
        <r>
          <rPr>
            <sz val="8"/>
            <color indexed="10"/>
            <rFont val="Tahoma"/>
            <family val="2"/>
          </rPr>
          <t>Dokler ne bo napisan pravilni rang v "m glavni 32", v "m kvalifikcije 32" ne bo moč videti ranga in tudi izračun točk ne bo mogoč!!</t>
        </r>
      </text>
    </comment>
    <comment ref="Q72" authorId="0">
      <text>
        <r>
          <rPr>
            <b/>
            <sz val="8"/>
            <color indexed="10"/>
            <rFont val="Tahoma"/>
            <family val="2"/>
          </rPr>
          <t>Napiši ime in priimek ter mesto na lestvici igralke, ki se je zadnja neposredno (status D) uvrstila v žreb.
Primer:
Katarina Srebotnik (23)</t>
        </r>
      </text>
    </commen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4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6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List>
</comments>
</file>

<file path=xl/comments6.xml><?xml version="1.0" encoding="utf-8"?>
<comments xmlns="http://schemas.openxmlformats.org/spreadsheetml/2006/main">
  <authors>
    <author>mta</author>
  </authors>
  <commentList>
    <comment ref="Q62" authorId="0">
      <text>
        <r>
          <rPr>
            <sz val="8"/>
            <color indexed="10"/>
            <rFont val="Tahoma"/>
            <family val="2"/>
          </rPr>
          <t>Rang turnirja v glavi turnirja mora biti enak rangu turnirja v tej tabeli!! Preveri!!
Dokler ne bo napisan pravilni rang v "m glavni 32", v "m kvalifikcije 32" ne bo moč videti ranga in tudi izračun točk ne bo mogoč!!</t>
        </r>
        <r>
          <rPr>
            <sz val="8"/>
            <rFont val="Tahoma"/>
            <family val="2"/>
          </rPr>
          <t xml:space="preserve">
</t>
        </r>
      </text>
    </comment>
    <comment ref="Q72" authorId="0">
      <text>
        <r>
          <rPr>
            <b/>
            <sz val="8"/>
            <color indexed="10"/>
            <rFont val="Tahoma"/>
            <family val="2"/>
          </rPr>
          <t>Napiši ime in priimek ter mesto na lestvici igralke, ki se je zadnja neposredno (status D) uvrstila v žreb.
Primer:
Katarina Srebotnik (23)</t>
        </r>
      </text>
    </commen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4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6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71" authorId="0">
      <text>
        <r>
          <rPr>
            <b/>
            <sz val="8"/>
            <color indexed="10"/>
            <rFont val="Tahoma"/>
            <family val="2"/>
          </rPr>
          <t xml:space="preserve">Za pravilen vnos časa napiši datum in čas. 
Primer: 12.5.2008 ob 17.30
</t>
        </r>
      </text>
    </comment>
  </commentList>
</comments>
</file>

<file path=xl/sharedStrings.xml><?xml version="1.0" encoding="utf-8"?>
<sst xmlns="http://schemas.openxmlformats.org/spreadsheetml/2006/main" count="810" uniqueCount="181">
  <si>
    <t>KVALIFIKACIJE</t>
  </si>
  <si>
    <t/>
  </si>
  <si>
    <t>Moški</t>
  </si>
  <si>
    <t>vrsta turnirja</t>
  </si>
  <si>
    <t>datum</t>
  </si>
  <si>
    <t>klub</t>
  </si>
  <si>
    <t>rang turnirja</t>
  </si>
  <si>
    <t>vodja tekmovanja</t>
  </si>
  <si>
    <t>število igralcev</t>
  </si>
  <si>
    <t>vrhovni  sodnik</t>
  </si>
  <si>
    <t>TOČKE KVALIFIKACIJE - UVRSTITEV</t>
  </si>
  <si>
    <t>status</t>
  </si>
  <si>
    <t>šifra</t>
  </si>
  <si>
    <t>nosilec</t>
  </si>
  <si>
    <t>priimek</t>
  </si>
  <si>
    <t>ime</t>
  </si>
  <si>
    <t>finale</t>
  </si>
  <si>
    <t>kvalifikant</t>
  </si>
  <si>
    <t>zap. št.</t>
  </si>
  <si>
    <t>1.kolo</t>
  </si>
  <si>
    <t>finalist (16)</t>
  </si>
  <si>
    <t>kvalifikant (8)</t>
  </si>
  <si>
    <t>skupaj točk</t>
  </si>
  <si>
    <t>Sodnik</t>
  </si>
  <si>
    <t>AS</t>
  </si>
  <si>
    <t>PROSTO</t>
  </si>
  <si>
    <t>B</t>
  </si>
  <si>
    <t>A</t>
  </si>
  <si>
    <t>TOČKE KVALIFIKACIJE - ZMAGE NAD NASPROTNIKI</t>
  </si>
  <si>
    <t>TOČKE KVALIFIKACIJE - SKUPAJ</t>
  </si>
  <si>
    <t>TOČKE TZS</t>
  </si>
  <si>
    <t>Rang turnirja:</t>
  </si>
  <si>
    <t>finalist</t>
  </si>
  <si>
    <t>16-32</t>
  </si>
  <si>
    <t>32-64</t>
  </si>
  <si>
    <t>64-128</t>
  </si>
  <si>
    <t>jakostna lestvica</t>
  </si>
  <si>
    <t>#</t>
  </si>
  <si>
    <t>nosilci</t>
  </si>
  <si>
    <t>mesto TZS</t>
  </si>
  <si>
    <t>jakost</t>
  </si>
  <si>
    <t>nadomestilo</t>
  </si>
  <si>
    <t>namesto</t>
  </si>
  <si>
    <t>čas žrebanja</t>
  </si>
  <si>
    <t>19.7.2011 OB 8.25</t>
  </si>
  <si>
    <t>1</t>
  </si>
  <si>
    <t>zadnji neposredno uvrščeni igralec</t>
  </si>
  <si>
    <t>2</t>
  </si>
  <si>
    <t>VSI</t>
  </si>
  <si>
    <t>3</t>
  </si>
  <si>
    <t>predstavnik igralcev</t>
  </si>
  <si>
    <t>4</t>
  </si>
  <si>
    <t>5</t>
  </si>
  <si>
    <t>podpis</t>
  </si>
  <si>
    <t>6</t>
  </si>
  <si>
    <t>7</t>
  </si>
  <si>
    <t>8</t>
  </si>
  <si>
    <t xml:space="preserve"> </t>
  </si>
  <si>
    <t>vrhovni sodnik</t>
  </si>
  <si>
    <t>Ženske</t>
  </si>
  <si>
    <t>število igralk</t>
  </si>
  <si>
    <t>nosilka</t>
  </si>
  <si>
    <t>2. kolo</t>
  </si>
  <si>
    <t>kvalifikantka</t>
  </si>
  <si>
    <t>zmagovalec (8)</t>
  </si>
  <si>
    <t>nosilke</t>
  </si>
  <si>
    <t xml:space="preserve">20.7.2011 OB </t>
  </si>
  <si>
    <t>zadnja neposredno uvrščena igralka</t>
  </si>
  <si>
    <t>predstavnica igralk</t>
  </si>
  <si>
    <t>DVOJICE MOŠKI</t>
  </si>
  <si>
    <t>Glavni turnir</t>
  </si>
  <si>
    <t>števlo dvojic</t>
  </si>
  <si>
    <t>nosilca</t>
  </si>
  <si>
    <t>polfinale</t>
  </si>
  <si>
    <t>zmagovalca</t>
  </si>
  <si>
    <t>BS</t>
  </si>
  <si>
    <t>mesto</t>
  </si>
  <si>
    <t>nadomestila</t>
  </si>
  <si>
    <t>20.7.201 OB 13.05</t>
  </si>
  <si>
    <t>zadnja neposredo uvrščena dvojica</t>
  </si>
  <si>
    <t>DVOJICE ŽENSKE</t>
  </si>
  <si>
    <t>število dvojic</t>
  </si>
  <si>
    <t>čifra</t>
  </si>
  <si>
    <t>nosilki</t>
  </si>
  <si>
    <t>zmagovalki</t>
  </si>
  <si>
    <t>rang</t>
  </si>
  <si>
    <t>20.7.2011 OB 13-10</t>
  </si>
  <si>
    <t xml:space="preserve">VSE </t>
  </si>
  <si>
    <t>GLAVNI TURNIR</t>
  </si>
  <si>
    <t>ševilo igralcev</t>
  </si>
  <si>
    <t>TOČKE GLAVNI TURNIR - UVRSTITEV</t>
  </si>
  <si>
    <t>četrtfinale</t>
  </si>
  <si>
    <t>2.kolo</t>
  </si>
  <si>
    <t>zmagovalec</t>
  </si>
  <si>
    <t>63 61</t>
  </si>
  <si>
    <t>64 61</t>
  </si>
  <si>
    <t>62 62</t>
  </si>
  <si>
    <t>62 61</t>
  </si>
  <si>
    <t>63 76(1)</t>
  </si>
  <si>
    <t>61 60</t>
  </si>
  <si>
    <t>75 60</t>
  </si>
  <si>
    <t>61 61</t>
  </si>
  <si>
    <t>TOČKE GLAVNI TURNIR - ZMAGE NAD NASPROTNIKI</t>
  </si>
  <si>
    <t>TOČKE GLAVNI TURNIR - SKUPAJ</t>
  </si>
  <si>
    <t>76(6) 63</t>
  </si>
  <si>
    <t>63 64</t>
  </si>
  <si>
    <t>1. mesto</t>
  </si>
  <si>
    <t>63 67(3)</t>
  </si>
  <si>
    <t>2. mesto</t>
  </si>
  <si>
    <t>3. - 4. mesto</t>
  </si>
  <si>
    <t>5. - 8. mesto</t>
  </si>
  <si>
    <t>9. - 16. mesto</t>
  </si>
  <si>
    <t>17.- 32. mesto</t>
  </si>
  <si>
    <t>srečni poraženec</t>
  </si>
  <si>
    <t>čas žrebanja:</t>
  </si>
  <si>
    <t>19.7.2011 OB 12.00</t>
  </si>
  <si>
    <t>HOBACHER</t>
  </si>
  <si>
    <t>DAVID JAN</t>
  </si>
  <si>
    <t>zadnji neposredno uvrščeni igralec:</t>
  </si>
  <si>
    <t>JANŠA VID</t>
  </si>
  <si>
    <t>predstavnik igralcev:</t>
  </si>
  <si>
    <t>FRANK JURE</t>
  </si>
  <si>
    <t>vodja tekmovanja:</t>
  </si>
  <si>
    <t>vrhovni sodnik:</t>
  </si>
  <si>
    <t>GLAVNI  TURNIR</t>
  </si>
  <si>
    <t>60 61</t>
  </si>
  <si>
    <t>75 46 64</t>
  </si>
  <si>
    <t>62 60</t>
  </si>
  <si>
    <t>zmagovalka</t>
  </si>
  <si>
    <t>64 75</t>
  </si>
  <si>
    <t>64 62</t>
  </si>
  <si>
    <t>61 64</t>
  </si>
  <si>
    <t>Točke TZS</t>
  </si>
  <si>
    <t>srečna poraženka</t>
  </si>
  <si>
    <t>20.7.2011 OB 10.15</t>
  </si>
  <si>
    <t>zadnje neposredno uvrščena igralka</t>
  </si>
  <si>
    <t>PEROŠA SILVIJA</t>
  </si>
  <si>
    <t>BUKOVEC KLAVDIJA, GODEC KRISTINA</t>
  </si>
  <si>
    <t>GORŠIČ</t>
  </si>
  <si>
    <t>POVHE</t>
  </si>
  <si>
    <t>VOVK</t>
  </si>
  <si>
    <t>GERMIČ</t>
  </si>
  <si>
    <t>JANEŽIČ</t>
  </si>
  <si>
    <t>OGOREVC</t>
  </si>
  <si>
    <t>60 62</t>
  </si>
  <si>
    <t>62 63</t>
  </si>
  <si>
    <t>63 63</t>
  </si>
  <si>
    <t>AA</t>
  </si>
  <si>
    <t>76(3) 63</t>
  </si>
  <si>
    <t>60 64</t>
  </si>
  <si>
    <t>63 60</t>
  </si>
  <si>
    <t>62 76(7)</t>
  </si>
  <si>
    <t>36 60 64</t>
  </si>
  <si>
    <t>10 pred.</t>
  </si>
  <si>
    <t>bs</t>
  </si>
  <si>
    <t>63 75</t>
  </si>
  <si>
    <t>as</t>
  </si>
  <si>
    <t>61 62</t>
  </si>
  <si>
    <t>62 20 pred.</t>
  </si>
  <si>
    <t>64 16 75</t>
  </si>
  <si>
    <t xml:space="preserve">AS </t>
  </si>
  <si>
    <t>64 63</t>
  </si>
  <si>
    <t>b</t>
  </si>
  <si>
    <t>61 75</t>
  </si>
  <si>
    <t>63 62</t>
  </si>
  <si>
    <t>61 76(3)</t>
  </si>
  <si>
    <t>26 64 108</t>
  </si>
  <si>
    <t>bb</t>
  </si>
  <si>
    <t>63 26 119</t>
  </si>
  <si>
    <t>CACAO OPEN</t>
  </si>
  <si>
    <t>64 64</t>
  </si>
  <si>
    <t>64 60</t>
  </si>
  <si>
    <t>ČAČIČ NINO</t>
  </si>
  <si>
    <t>61 63</t>
  </si>
  <si>
    <t>62 64</t>
  </si>
  <si>
    <t>57 63 105</t>
  </si>
  <si>
    <t>75 63</t>
  </si>
  <si>
    <t>60 60</t>
  </si>
  <si>
    <t>16 64 62</t>
  </si>
  <si>
    <t>46 64 63</t>
  </si>
  <si>
    <t>75 61</t>
  </si>
</sst>
</file>

<file path=xl/styles.xml><?xml version="1.0" encoding="utf-8"?>
<styleSheet xmlns="http://schemas.openxmlformats.org/spreadsheetml/2006/main">
  <numFmts count="45">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d\-mmm\-yy"/>
    <numFmt numFmtId="177" formatCode="0.0000"/>
    <numFmt numFmtId="178" formatCode="dd\-mmm\-yy_)"/>
    <numFmt numFmtId="179" formatCode="0_)"/>
    <numFmt numFmtId="180" formatCode="\$#,##0\ ;\(\$#,##0\)"/>
    <numFmt numFmtId="181" formatCode="mm/dd/yy"/>
    <numFmt numFmtId="182" formatCode="#,##0.00_ ;[Red]\-#,##0.00\ "/>
    <numFmt numFmtId="183" formatCode="dd\ mmm\ yyyy"/>
    <numFmt numFmtId="184" formatCode="[$$-409]#,##0.00"/>
    <numFmt numFmtId="185" formatCode="[$€-2]\ #,##0"/>
    <numFmt numFmtId="186" formatCode="0.000_)"/>
    <numFmt numFmtId="187" formatCode="0.0"/>
    <numFmt numFmtId="188" formatCode="d/\ m/\ yy\ hh:mm\ "/>
    <numFmt numFmtId="189" formatCode="0000"/>
    <numFmt numFmtId="190" formatCode="dd/mm/yy"/>
    <numFmt numFmtId="191" formatCode="dd/\ mmm/\ yy"/>
    <numFmt numFmtId="192" formatCode="d/\ mmmm\,\ yyyy"/>
    <numFmt numFmtId="193" formatCode="d\-mmm\-yyyy"/>
    <numFmt numFmtId="194" formatCode="d/\ m/\ yy"/>
    <numFmt numFmtId="195" formatCode="[$-424]d\.\ mmmm\ yyyy"/>
    <numFmt numFmtId="196" formatCode="#,##0.00\ [$EUR]"/>
    <numFmt numFmtId="197" formatCode="d/m/yyyy;@"/>
    <numFmt numFmtId="198" formatCode="dd/mm/yyyy;@"/>
    <numFmt numFmtId="199" formatCode="&quot;True&quot;;&quot;True&quot;;&quot;False&quot;"/>
    <numFmt numFmtId="200" formatCode="&quot;On&quot;;&quot;On&quot;;&quot;Off&quot;"/>
  </numFmts>
  <fonts count="82">
    <font>
      <sz val="10"/>
      <name val="Arial"/>
      <family val="0"/>
    </font>
    <font>
      <sz val="11"/>
      <color indexed="8"/>
      <name val="Calibri"/>
      <family val="2"/>
    </font>
    <font>
      <sz val="11"/>
      <color indexed="9"/>
      <name val="Calibri"/>
      <family val="2"/>
    </font>
    <font>
      <sz val="12"/>
      <color indexed="24"/>
      <name val="Arial"/>
      <family val="2"/>
    </font>
    <font>
      <sz val="11"/>
      <color indexed="17"/>
      <name val="Calibri"/>
      <family val="2"/>
    </font>
    <font>
      <sz val="18"/>
      <color indexed="24"/>
      <name val="Arial"/>
      <family val="2"/>
    </font>
    <font>
      <sz val="24"/>
      <color indexed="24"/>
      <name val="Times New Roman"/>
      <family val="1"/>
    </font>
    <font>
      <u val="single"/>
      <sz val="10"/>
      <color indexed="12"/>
      <name val="Arial"/>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Verdana"/>
      <family val="2"/>
    </font>
    <font>
      <sz val="11"/>
      <color indexed="60"/>
      <name val="Calibri"/>
      <family val="2"/>
    </font>
    <font>
      <sz val="10"/>
      <name val="MS Sans Serif"/>
      <family val="2"/>
    </font>
    <font>
      <u val="single"/>
      <sz val="10"/>
      <color indexed="20"/>
      <name val="Arial"/>
      <family val="2"/>
    </font>
    <font>
      <sz val="11"/>
      <color indexed="10"/>
      <name val="Calibri"/>
      <family val="2"/>
    </font>
    <font>
      <i/>
      <sz val="11"/>
      <color indexed="63"/>
      <name val="Calibri"/>
      <family val="2"/>
    </font>
    <font>
      <sz val="11"/>
      <color indexed="16"/>
      <name val="Calibri"/>
      <family val="2"/>
    </font>
    <font>
      <b/>
      <sz val="11"/>
      <color indexed="9"/>
      <name val="Calibri"/>
      <family val="2"/>
    </font>
    <font>
      <b/>
      <sz val="11"/>
      <color indexed="16"/>
      <name val="Calibri"/>
      <family val="2"/>
    </font>
    <font>
      <sz val="11"/>
      <color indexed="20"/>
      <name val="Calibri"/>
      <family val="2"/>
    </font>
    <font>
      <sz val="11"/>
      <color indexed="62"/>
      <name val="Calibri"/>
      <family val="2"/>
    </font>
    <font>
      <b/>
      <sz val="16"/>
      <name val="Arial"/>
      <family val="2"/>
    </font>
    <font>
      <b/>
      <sz val="20"/>
      <name val="Arial"/>
      <family val="2"/>
    </font>
    <font>
      <sz val="20"/>
      <name val="Arial"/>
      <family val="2"/>
    </font>
    <font>
      <b/>
      <sz val="18"/>
      <name val="Arial"/>
      <family val="2"/>
    </font>
    <font>
      <b/>
      <sz val="11"/>
      <name val="Arial"/>
      <family val="2"/>
    </font>
    <font>
      <b/>
      <sz val="9"/>
      <name val="Arial"/>
      <family val="2"/>
    </font>
    <font>
      <b/>
      <sz val="10"/>
      <name val="Arial"/>
      <family val="2"/>
    </font>
    <font>
      <sz val="20"/>
      <color indexed="9"/>
      <name val="Arial"/>
      <family val="2"/>
    </font>
    <font>
      <sz val="8"/>
      <color indexed="9"/>
      <name val="Arial"/>
      <family val="2"/>
    </font>
    <font>
      <sz val="16"/>
      <name val="Arial"/>
      <family val="2"/>
    </font>
    <font>
      <b/>
      <i/>
      <sz val="10"/>
      <name val="Arial"/>
      <family val="2"/>
    </font>
    <font>
      <sz val="10"/>
      <color indexed="9"/>
      <name val="Arial"/>
      <family val="2"/>
    </font>
    <font>
      <sz val="8"/>
      <name val="Arial"/>
      <family val="2"/>
    </font>
    <font>
      <b/>
      <sz val="7"/>
      <name val="Arial"/>
      <family val="2"/>
    </font>
    <font>
      <sz val="6"/>
      <name val="Arial"/>
      <family val="2"/>
    </font>
    <font>
      <b/>
      <sz val="8"/>
      <name val="Arial"/>
      <family val="2"/>
    </font>
    <font>
      <u val="single"/>
      <sz val="8"/>
      <name val="Arial"/>
      <family val="2"/>
    </font>
    <font>
      <sz val="8"/>
      <color indexed="8"/>
      <name val="Arial"/>
      <family val="2"/>
    </font>
    <font>
      <b/>
      <sz val="8"/>
      <color indexed="9"/>
      <name val="Arial"/>
      <family val="2"/>
    </font>
    <font>
      <sz val="7"/>
      <name val="Arial"/>
      <family val="2"/>
    </font>
    <font>
      <sz val="7"/>
      <color indexed="9"/>
      <name val="Arial"/>
      <family val="2"/>
    </font>
    <font>
      <sz val="6"/>
      <color indexed="9"/>
      <name val="Arial"/>
      <family val="2"/>
    </font>
    <font>
      <sz val="6"/>
      <color indexed="63"/>
      <name val="Arial"/>
      <family val="2"/>
    </font>
    <font>
      <sz val="8"/>
      <color indexed="63"/>
      <name val="Arial"/>
      <family val="2"/>
    </font>
    <font>
      <b/>
      <sz val="6"/>
      <color indexed="63"/>
      <name val="Arial"/>
      <family val="2"/>
    </font>
    <font>
      <b/>
      <sz val="8.5"/>
      <name val="Arial"/>
      <family val="2"/>
    </font>
    <font>
      <sz val="8.5"/>
      <color indexed="42"/>
      <name val="Arial"/>
      <family val="2"/>
    </font>
    <font>
      <sz val="8.5"/>
      <color indexed="9"/>
      <name val="Arial"/>
      <family val="2"/>
    </font>
    <font>
      <sz val="8.5"/>
      <color indexed="8"/>
      <name val="Arial"/>
      <family val="2"/>
    </font>
    <font>
      <sz val="8.5"/>
      <name val="Arial"/>
      <family val="2"/>
    </font>
    <font>
      <sz val="10"/>
      <color indexed="8"/>
      <name val="Arial"/>
      <family val="2"/>
    </font>
    <font>
      <i/>
      <sz val="6"/>
      <color indexed="9"/>
      <name val="Arial"/>
      <family val="2"/>
    </font>
    <font>
      <b/>
      <sz val="8.5"/>
      <color indexed="9"/>
      <name val="Arial"/>
      <family val="2"/>
    </font>
    <font>
      <b/>
      <sz val="8.5"/>
      <color indexed="8"/>
      <name val="Arial"/>
      <family val="2"/>
    </font>
    <font>
      <b/>
      <sz val="10"/>
      <color indexed="8"/>
      <name val="Arial"/>
      <family val="2"/>
    </font>
    <font>
      <sz val="8.5"/>
      <color indexed="14"/>
      <name val="Arial"/>
      <family val="2"/>
    </font>
    <font>
      <i/>
      <sz val="8.5"/>
      <color indexed="9"/>
      <name val="Arial"/>
      <family val="2"/>
    </font>
    <font>
      <b/>
      <sz val="10"/>
      <color indexed="9"/>
      <name val="Arial"/>
      <family val="2"/>
    </font>
    <font>
      <b/>
      <u val="single"/>
      <sz val="10"/>
      <name val="Arial"/>
      <family val="2"/>
    </font>
    <font>
      <sz val="11"/>
      <name val="Arial"/>
      <family val="2"/>
    </font>
    <font>
      <sz val="14"/>
      <name val="Arial"/>
      <family val="2"/>
    </font>
    <font>
      <sz val="14"/>
      <color indexed="9"/>
      <name val="Arial"/>
      <family val="2"/>
    </font>
    <font>
      <b/>
      <sz val="7"/>
      <color indexed="8"/>
      <name val="Arial"/>
      <family val="2"/>
    </font>
    <font>
      <b/>
      <sz val="7"/>
      <color indexed="9"/>
      <name val="Arial"/>
      <family val="2"/>
    </font>
    <font>
      <i/>
      <sz val="8"/>
      <color indexed="10"/>
      <name val="Arial"/>
      <family val="2"/>
    </font>
    <font>
      <sz val="8"/>
      <color indexed="10"/>
      <name val="Tahoma"/>
      <family val="2"/>
    </font>
    <font>
      <sz val="8"/>
      <name val="Tahoma"/>
      <family val="2"/>
    </font>
    <font>
      <b/>
      <sz val="8"/>
      <color indexed="10"/>
      <name val="Tahoma"/>
      <family val="2"/>
    </font>
    <font>
      <b/>
      <sz val="8"/>
      <name val="Tahoma"/>
      <family val="2"/>
    </font>
    <font>
      <b/>
      <sz val="12"/>
      <name val="Arial"/>
      <family val="2"/>
    </font>
    <font>
      <b/>
      <sz val="14"/>
      <name val="Arial"/>
      <family val="2"/>
    </font>
    <font>
      <sz val="7"/>
      <color indexed="8"/>
      <name val="Arial"/>
      <family val="2"/>
    </font>
    <font>
      <b/>
      <sz val="8.5"/>
      <color indexed="42"/>
      <name val="Arial"/>
      <family val="2"/>
    </font>
    <font>
      <b/>
      <sz val="9"/>
      <color indexed="9"/>
      <name val="Arial"/>
      <family val="2"/>
    </font>
    <font>
      <sz val="18"/>
      <name val="Arial"/>
      <family val="2"/>
    </font>
    <font>
      <b/>
      <sz val="6"/>
      <name val="Arial"/>
      <family val="2"/>
    </font>
    <font>
      <sz val="9"/>
      <name val="Tahoma"/>
      <family val="2"/>
    </font>
    <font>
      <u val="single"/>
      <sz val="8"/>
      <color indexed="10"/>
      <name val="Tahoma"/>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s>
  <borders count="31">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style="double">
        <color indexed="8"/>
      </left>
      <right style="double">
        <color indexed="8"/>
      </right>
      <top style="double">
        <color indexed="8"/>
      </top>
      <bottom style="double">
        <color indexed="8"/>
      </bottom>
    </border>
    <border>
      <left>
        <color indexed="63"/>
      </left>
      <right>
        <color indexed="63"/>
      </right>
      <top style="double"/>
      <bottom>
        <color indexed="63"/>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3"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0" fontId="4" fillId="6" borderId="0" applyNumberFormat="0" applyBorder="0" applyAlignment="0" applyProtection="0"/>
    <xf numFmtId="2"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0" borderId="1" applyNumberFormat="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14" fillId="4" borderId="0" applyNumberFormat="0" applyBorder="0" applyAlignment="0" applyProtection="0"/>
    <xf numFmtId="0" fontId="15" fillId="0" borderId="0">
      <alignment/>
      <protection/>
    </xf>
    <xf numFmtId="0" fontId="16" fillId="0" borderId="0" applyNumberFormat="0" applyFill="0" applyBorder="0" applyAlignment="0" applyProtection="0"/>
    <xf numFmtId="9" fontId="0" fillId="0" borderId="0" applyFont="0" applyFill="0" applyBorder="0" applyAlignment="0" applyProtection="0"/>
    <xf numFmtId="0" fontId="0" fillId="4" borderId="5"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0" borderId="6" applyNumberFormat="0" applyFill="0" applyAlignment="0" applyProtection="0"/>
    <xf numFmtId="0" fontId="20" fillId="9" borderId="7" applyNumberFormat="0" applyAlignment="0" applyProtection="0"/>
    <xf numFmtId="0" fontId="21" fillId="10" borderId="5" applyNumberFormat="0" applyAlignment="0" applyProtection="0"/>
    <xf numFmtId="0" fontId="22" fillId="16" borderId="0" applyNumberFormat="0" applyBorder="0" applyAlignment="0" applyProtection="0"/>
    <xf numFmtId="0" fontId="3" fillId="0" borderId="8" applyNumberFormat="0" applyFont="0" applyFill="0" applyAlignment="0" applyProtection="0"/>
    <xf numFmtId="175"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3" fillId="3" borderId="5" applyNumberFormat="0" applyAlignment="0" applyProtection="0"/>
    <xf numFmtId="0" fontId="8" fillId="0" borderId="9" applyNumberFormat="0" applyFill="0" applyAlignment="0" applyProtection="0"/>
  </cellStyleXfs>
  <cellXfs count="435">
    <xf numFmtId="0" fontId="0" fillId="0" borderId="0" xfId="0" applyAlignment="1">
      <alignment/>
    </xf>
    <xf numFmtId="49" fontId="24" fillId="0" borderId="0" xfId="0" applyNumberFormat="1" applyFont="1" applyAlignment="1">
      <alignment vertical="top"/>
    </xf>
    <xf numFmtId="49" fontId="25" fillId="0" borderId="0" xfId="0" applyNumberFormat="1" applyFont="1" applyAlignment="1">
      <alignment vertical="top"/>
    </xf>
    <xf numFmtId="49" fontId="26" fillId="0" borderId="0" xfId="0" applyNumberFormat="1" applyFont="1" applyAlignment="1">
      <alignment vertical="top"/>
    </xf>
    <xf numFmtId="49" fontId="27" fillId="0" borderId="0" xfId="0" applyNumberFormat="1" applyFont="1" applyAlignment="1">
      <alignment horizontal="center"/>
    </xf>
    <xf numFmtId="49" fontId="28" fillId="0" borderId="0" xfId="0" applyNumberFormat="1" applyFont="1" applyAlignment="1">
      <alignment horizontal="left"/>
    </xf>
    <xf numFmtId="49" fontId="29" fillId="0" borderId="0" xfId="0" applyNumberFormat="1" applyFont="1" applyAlignment="1">
      <alignment horizontal="left"/>
    </xf>
    <xf numFmtId="49" fontId="30" fillId="0" borderId="0" xfId="0" applyNumberFormat="1" applyFont="1" applyAlignment="1">
      <alignment horizontal="left"/>
    </xf>
    <xf numFmtId="49" fontId="31" fillId="0" borderId="0" xfId="0" applyNumberFormat="1" applyFont="1" applyAlignment="1">
      <alignment vertical="top"/>
    </xf>
    <xf numFmtId="0" fontId="26" fillId="0" borderId="0" xfId="0" applyFont="1" applyAlignment="1">
      <alignment vertical="top"/>
    </xf>
    <xf numFmtId="1" fontId="32" fillId="0" borderId="0" xfId="0" applyNumberFormat="1" applyFont="1" applyAlignment="1">
      <alignment horizontal="left" vertical="top"/>
    </xf>
    <xf numFmtId="0" fontId="33" fillId="0" borderId="0" xfId="0" applyFont="1" applyAlignment="1">
      <alignment horizontal="left" vertical="top"/>
    </xf>
    <xf numFmtId="0" fontId="32" fillId="0" borderId="0" xfId="0" applyFont="1" applyAlignment="1">
      <alignment vertical="top"/>
    </xf>
    <xf numFmtId="49" fontId="34" fillId="0" borderId="0" xfId="0" applyNumberFormat="1" applyFont="1" applyAlignment="1">
      <alignment horizontal="center"/>
    </xf>
    <xf numFmtId="49" fontId="34" fillId="0" borderId="0" xfId="0" applyNumberFormat="1" applyFont="1" applyAlignment="1">
      <alignment horizontal="left"/>
    </xf>
    <xf numFmtId="0" fontId="34" fillId="0" borderId="0" xfId="0" applyNumberFormat="1" applyFont="1" applyAlignment="1">
      <alignment horizontal="left"/>
    </xf>
    <xf numFmtId="49" fontId="34" fillId="0" borderId="0" xfId="0" applyNumberFormat="1" applyFont="1" applyAlignment="1">
      <alignment/>
    </xf>
    <xf numFmtId="49" fontId="0" fillId="0" borderId="0" xfId="0" applyNumberFormat="1" applyFont="1" applyAlignment="1">
      <alignment/>
    </xf>
    <xf numFmtId="49" fontId="35" fillId="0" borderId="0" xfId="0" applyNumberFormat="1" applyFont="1" applyAlignment="1">
      <alignment/>
    </xf>
    <xf numFmtId="0" fontId="0" fillId="0" borderId="0" xfId="0" applyFont="1" applyAlignment="1">
      <alignment/>
    </xf>
    <xf numFmtId="1" fontId="32" fillId="0" borderId="0" xfId="0" applyNumberFormat="1" applyFont="1" applyAlignment="1">
      <alignment horizontal="left"/>
    </xf>
    <xf numFmtId="49" fontId="36" fillId="0" borderId="0" xfId="0" applyNumberFormat="1" applyFont="1" applyFill="1" applyAlignment="1">
      <alignment horizontal="right" vertical="top"/>
    </xf>
    <xf numFmtId="0" fontId="36" fillId="0" borderId="0" xfId="0" applyFont="1" applyBorder="1" applyAlignment="1">
      <alignment vertical="top"/>
    </xf>
    <xf numFmtId="49" fontId="36" fillId="0" borderId="0" xfId="0" applyNumberFormat="1" applyFont="1" applyFill="1" applyAlignment="1">
      <alignment horizontal="left" vertical="top"/>
    </xf>
    <xf numFmtId="0" fontId="32" fillId="0" borderId="0" xfId="0" applyFont="1" applyAlignment="1">
      <alignment/>
    </xf>
    <xf numFmtId="49" fontId="37" fillId="10" borderId="0" xfId="0" applyNumberFormat="1" applyFont="1" applyFill="1" applyAlignment="1">
      <alignment vertical="center"/>
    </xf>
    <xf numFmtId="49" fontId="37" fillId="10" borderId="0" xfId="0" applyNumberFormat="1" applyFont="1" applyFill="1" applyAlignment="1">
      <alignment horizontal="center" vertical="center"/>
    </xf>
    <xf numFmtId="49" fontId="37" fillId="10" borderId="0" xfId="0" applyNumberFormat="1" applyFont="1" applyFill="1" applyAlignment="1">
      <alignment vertical="center"/>
    </xf>
    <xf numFmtId="49" fontId="37" fillId="10" borderId="0" xfId="0" applyNumberFormat="1" applyFont="1" applyFill="1" applyAlignment="1">
      <alignment horizontal="right" vertical="center"/>
    </xf>
    <xf numFmtId="0" fontId="38" fillId="0" borderId="0" xfId="0" applyFont="1" applyAlignment="1">
      <alignment vertical="center"/>
    </xf>
    <xf numFmtId="1" fontId="32" fillId="0" borderId="0" xfId="0" applyNumberFormat="1" applyFont="1" applyAlignment="1">
      <alignment horizontal="left" vertical="center"/>
    </xf>
    <xf numFmtId="0" fontId="39" fillId="0" borderId="10" xfId="0" applyFont="1" applyBorder="1" applyAlignment="1">
      <alignment vertical="center"/>
    </xf>
    <xf numFmtId="0" fontId="36" fillId="0" borderId="11" xfId="0" applyFont="1" applyBorder="1" applyAlignment="1">
      <alignment vertical="center"/>
    </xf>
    <xf numFmtId="0" fontId="36" fillId="0" borderId="12" xfId="0" applyFont="1" applyBorder="1" applyAlignment="1">
      <alignment vertical="center"/>
    </xf>
    <xf numFmtId="0" fontId="40"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0" xfId="0" applyFont="1" applyAlignment="1">
      <alignment horizontal="center" vertical="center"/>
    </xf>
    <xf numFmtId="0" fontId="38" fillId="0" borderId="0" xfId="0" applyFont="1" applyAlignment="1">
      <alignment horizontal="center" vertical="center"/>
    </xf>
    <xf numFmtId="0" fontId="32" fillId="0" borderId="0" xfId="0" applyFont="1" applyAlignment="1">
      <alignment vertical="center"/>
    </xf>
    <xf numFmtId="14" fontId="41" fillId="0" borderId="14" xfId="0" applyNumberFormat="1" applyFont="1" applyBorder="1" applyAlignment="1">
      <alignment horizontal="left" vertical="center"/>
    </xf>
    <xf numFmtId="49" fontId="36" fillId="0" borderId="14" xfId="0" applyNumberFormat="1" applyFont="1" applyBorder="1" applyAlignment="1">
      <alignment vertical="center"/>
    </xf>
    <xf numFmtId="49" fontId="36" fillId="0" borderId="14" xfId="70" applyNumberFormat="1" applyFont="1" applyBorder="1" applyAlignment="1" applyProtection="1">
      <alignment horizontal="center" vertical="center"/>
      <protection locked="0"/>
    </xf>
    <xf numFmtId="0" fontId="41" fillId="0" borderId="14" xfId="0" applyFont="1" applyBorder="1" applyAlignment="1">
      <alignment horizontal="left" vertical="center"/>
    </xf>
    <xf numFmtId="1" fontId="36" fillId="0" borderId="14" xfId="0" applyNumberFormat="1" applyFont="1" applyBorder="1" applyAlignment="1">
      <alignment horizontal="center" vertical="center"/>
    </xf>
    <xf numFmtId="49" fontId="36" fillId="0" borderId="14" xfId="0" applyNumberFormat="1" applyFont="1" applyBorder="1" applyAlignment="1">
      <alignment horizontal="right" vertical="center"/>
    </xf>
    <xf numFmtId="0" fontId="39" fillId="0" borderId="0" xfId="0" applyFont="1" applyAlignment="1">
      <alignment vertical="center"/>
    </xf>
    <xf numFmtId="1" fontId="42" fillId="0" borderId="0" xfId="0" applyNumberFormat="1" applyFont="1" applyAlignment="1">
      <alignment horizontal="left" vertical="center"/>
    </xf>
    <xf numFmtId="0" fontId="39" fillId="0" borderId="0" xfId="0" applyFont="1" applyBorder="1" applyAlignment="1">
      <alignment vertical="center"/>
    </xf>
    <xf numFmtId="0" fontId="39" fillId="0" borderId="0" xfId="0" applyFont="1" applyAlignment="1">
      <alignment horizontal="center" vertical="center"/>
    </xf>
    <xf numFmtId="0" fontId="42" fillId="0" borderId="0" xfId="0" applyFont="1" applyAlignment="1">
      <alignment vertical="center"/>
    </xf>
    <xf numFmtId="49" fontId="43" fillId="0" borderId="0" xfId="0" applyNumberFormat="1" applyFont="1" applyFill="1" applyAlignment="1">
      <alignment horizontal="right" vertical="center"/>
    </xf>
    <xf numFmtId="49" fontId="43" fillId="0" borderId="0" xfId="0" applyNumberFormat="1" applyFont="1" applyFill="1" applyAlignment="1">
      <alignment horizontal="center" vertical="center"/>
    </xf>
    <xf numFmtId="49" fontId="43" fillId="0" borderId="0" xfId="0" applyNumberFormat="1" applyFont="1" applyFill="1" applyAlignment="1">
      <alignment horizontal="left" vertical="center"/>
    </xf>
    <xf numFmtId="49" fontId="44" fillId="0" borderId="0" xfId="0" applyNumberFormat="1" applyFont="1" applyFill="1" applyAlignment="1">
      <alignment horizontal="center" vertical="center"/>
    </xf>
    <xf numFmtId="49" fontId="44" fillId="0" borderId="0" xfId="0" applyNumberFormat="1" applyFont="1" applyFill="1" applyAlignment="1">
      <alignment vertical="center"/>
    </xf>
    <xf numFmtId="0" fontId="38" fillId="0" borderId="10" xfId="0" applyFont="1" applyBorder="1" applyAlignment="1">
      <alignment vertical="center"/>
    </xf>
    <xf numFmtId="0" fontId="36" fillId="0" borderId="10" xfId="0" applyFont="1" applyBorder="1" applyAlignment="1">
      <alignment vertical="center"/>
    </xf>
    <xf numFmtId="0" fontId="36" fillId="0" borderId="13" xfId="0" applyFont="1" applyBorder="1" applyAlignment="1">
      <alignment vertical="center"/>
    </xf>
    <xf numFmtId="0" fontId="36" fillId="0" borderId="10" xfId="0" applyFont="1" applyBorder="1" applyAlignment="1">
      <alignment horizontal="center" vertical="center"/>
    </xf>
    <xf numFmtId="0" fontId="39" fillId="0" borderId="10" xfId="0" applyFont="1" applyBorder="1" applyAlignment="1">
      <alignment horizontal="center" vertical="center"/>
    </xf>
    <xf numFmtId="49" fontId="38" fillId="0" borderId="0" xfId="0" applyNumberFormat="1" applyFont="1" applyFill="1" applyAlignment="1">
      <alignment horizontal="right" vertical="center"/>
    </xf>
    <xf numFmtId="49" fontId="38" fillId="0" borderId="0" xfId="0" applyNumberFormat="1" applyFont="1" applyAlignment="1">
      <alignment horizontal="center" vertical="center"/>
    </xf>
    <xf numFmtId="49" fontId="38" fillId="0" borderId="0" xfId="0" applyNumberFormat="1" applyFont="1" applyAlignment="1">
      <alignment horizontal="left" vertical="center"/>
    </xf>
    <xf numFmtId="49" fontId="0" fillId="0" borderId="0" xfId="0" applyNumberFormat="1" applyFont="1" applyAlignment="1">
      <alignment vertical="center"/>
    </xf>
    <xf numFmtId="49" fontId="45" fillId="0" borderId="0" xfId="0" applyNumberFormat="1" applyFont="1" applyAlignment="1">
      <alignment horizontal="center" vertical="center"/>
    </xf>
    <xf numFmtId="49" fontId="45" fillId="0" borderId="0" xfId="0" applyNumberFormat="1" applyFont="1" applyAlignment="1">
      <alignment vertical="center"/>
    </xf>
    <xf numFmtId="0" fontId="46" fillId="9" borderId="10" xfId="0" applyFont="1" applyFill="1" applyBorder="1" applyAlignment="1">
      <alignment vertical="center"/>
    </xf>
    <xf numFmtId="0" fontId="47" fillId="9" borderId="10" xfId="0" applyFont="1" applyFill="1" applyBorder="1" applyAlignment="1">
      <alignment vertical="center"/>
    </xf>
    <xf numFmtId="0" fontId="47" fillId="9" borderId="13" xfId="0" applyFont="1" applyFill="1" applyBorder="1" applyAlignment="1">
      <alignment vertical="center"/>
    </xf>
    <xf numFmtId="0" fontId="47" fillId="9" borderId="13" xfId="0" applyFont="1" applyFill="1" applyBorder="1" applyAlignment="1">
      <alignment horizontal="center" vertical="center"/>
    </xf>
    <xf numFmtId="0" fontId="47" fillId="9" borderId="10" xfId="0" applyFont="1" applyFill="1" applyBorder="1" applyAlignment="1">
      <alignment horizontal="center" vertical="center"/>
    </xf>
    <xf numFmtId="0" fontId="48" fillId="9" borderId="10" xfId="0" applyFont="1" applyFill="1" applyBorder="1" applyAlignment="1">
      <alignment horizontal="center" vertical="center"/>
    </xf>
    <xf numFmtId="49" fontId="49" fillId="0" borderId="0" xfId="0" applyNumberFormat="1" applyFont="1" applyFill="1" applyAlignment="1">
      <alignment horizontal="center" vertical="center"/>
    </xf>
    <xf numFmtId="0" fontId="49" fillId="0" borderId="15" xfId="0" applyFont="1" applyBorder="1" applyAlignment="1">
      <alignment vertical="center"/>
    </xf>
    <xf numFmtId="0" fontId="50" fillId="17" borderId="15" xfId="0" applyFont="1" applyFill="1" applyBorder="1" applyAlignment="1">
      <alignment horizontal="center" vertical="center"/>
    </xf>
    <xf numFmtId="0" fontId="51" fillId="0" borderId="15" xfId="0" applyFont="1" applyBorder="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3" fillId="18" borderId="0" xfId="0" applyFont="1" applyFill="1" applyAlignment="1">
      <alignment vertical="center"/>
    </xf>
    <xf numFmtId="0" fontId="51" fillId="18" borderId="0" xfId="0" applyFont="1" applyFill="1" applyAlignment="1">
      <alignment vertical="center"/>
    </xf>
    <xf numFmtId="49" fontId="53" fillId="18" borderId="0" xfId="0" applyNumberFormat="1" applyFont="1" applyFill="1" applyAlignment="1">
      <alignment vertical="center"/>
    </xf>
    <xf numFmtId="49" fontId="51" fillId="18" borderId="0" xfId="0" applyNumberFormat="1" applyFont="1" applyFill="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6" xfId="0" applyFont="1" applyBorder="1" applyAlignment="1">
      <alignment vertical="center"/>
    </xf>
    <xf numFmtId="0" fontId="36" fillId="0" borderId="10" xfId="0" applyNumberFormat="1" applyFont="1" applyBorder="1" applyAlignment="1" applyProtection="1">
      <alignment horizontal="center" vertical="center"/>
      <protection hidden="1"/>
    </xf>
    <xf numFmtId="0" fontId="36" fillId="0" borderId="10" xfId="0" applyNumberFormat="1" applyFont="1" applyBorder="1" applyAlignment="1">
      <alignment horizontal="center" vertical="center"/>
    </xf>
    <xf numFmtId="187" fontId="36" fillId="0" borderId="10" xfId="0" applyNumberFormat="1" applyFont="1" applyBorder="1" applyAlignment="1">
      <alignment horizontal="center" vertical="center"/>
    </xf>
    <xf numFmtId="2" fontId="39" fillId="0" borderId="10" xfId="0" applyNumberFormat="1" applyFont="1" applyBorder="1" applyAlignment="1">
      <alignment horizontal="center" vertical="center"/>
    </xf>
    <xf numFmtId="49" fontId="53" fillId="0" borderId="0" xfId="0" applyNumberFormat="1" applyFont="1" applyFill="1" applyAlignment="1">
      <alignment horizontal="center" vertical="center"/>
    </xf>
    <xf numFmtId="0" fontId="53" fillId="0" borderId="0" xfId="0" applyFont="1" applyAlignment="1">
      <alignment horizontal="center" vertical="center"/>
    </xf>
    <xf numFmtId="0" fontId="52" fillId="0" borderId="0" xfId="0" applyFont="1" applyAlignment="1">
      <alignment vertical="center"/>
    </xf>
    <xf numFmtId="0" fontId="54" fillId="0" borderId="0" xfId="0" applyFont="1" applyAlignment="1">
      <alignment vertical="center"/>
    </xf>
    <xf numFmtId="0" fontId="44" fillId="0" borderId="0" xfId="0" applyFont="1" applyAlignment="1">
      <alignment horizontal="right" vertical="center"/>
    </xf>
    <xf numFmtId="0" fontId="55" fillId="19" borderId="17" xfId="0" applyFont="1" applyFill="1" applyBorder="1" applyAlignment="1">
      <alignment horizontal="right" vertical="center"/>
    </xf>
    <xf numFmtId="0" fontId="52" fillId="0" borderId="15" xfId="0" applyFont="1" applyBorder="1" applyAlignment="1">
      <alignment vertical="center"/>
    </xf>
    <xf numFmtId="0" fontId="51" fillId="0" borderId="15" xfId="0" applyFont="1" applyBorder="1" applyAlignment="1">
      <alignment vertical="center"/>
    </xf>
    <xf numFmtId="0" fontId="0" fillId="0" borderId="18" xfId="0" applyFont="1" applyBorder="1" applyAlignment="1">
      <alignment vertical="center"/>
    </xf>
    <xf numFmtId="0" fontId="36" fillId="20" borderId="10" xfId="0" applyFont="1" applyFill="1" applyBorder="1" applyAlignment="1">
      <alignment vertical="center"/>
    </xf>
    <xf numFmtId="0" fontId="36" fillId="20" borderId="10" xfId="0" applyNumberFormat="1" applyFont="1" applyFill="1" applyBorder="1" applyAlignment="1">
      <alignment vertical="center"/>
    </xf>
    <xf numFmtId="0" fontId="36" fillId="20" borderId="10" xfId="0" applyFont="1" applyFill="1" applyBorder="1" applyAlignment="1">
      <alignment horizontal="center" vertical="center"/>
    </xf>
    <xf numFmtId="187" fontId="36" fillId="20" borderId="10" xfId="0" applyNumberFormat="1" applyFont="1" applyFill="1" applyBorder="1" applyAlignment="1">
      <alignment horizontal="center" vertical="center"/>
    </xf>
    <xf numFmtId="2" fontId="39" fillId="20" borderId="10" xfId="0" applyNumberFormat="1" applyFont="1" applyFill="1" applyBorder="1" applyAlignment="1">
      <alignment horizontal="center" vertical="center"/>
    </xf>
    <xf numFmtId="0" fontId="53" fillId="0" borderId="15" xfId="0" applyFont="1" applyBorder="1" applyAlignment="1">
      <alignment vertical="center"/>
    </xf>
    <xf numFmtId="0" fontId="53" fillId="0" borderId="15" xfId="0" applyFont="1" applyBorder="1" applyAlignment="1">
      <alignment vertical="center"/>
    </xf>
    <xf numFmtId="0" fontId="51" fillId="0" borderId="19" xfId="0" applyFont="1" applyBorder="1" applyAlignment="1">
      <alignment horizontal="center" vertical="center"/>
    </xf>
    <xf numFmtId="0" fontId="52" fillId="0" borderId="0" xfId="0" applyFont="1" applyAlignment="1">
      <alignment horizontal="center" vertical="center"/>
    </xf>
    <xf numFmtId="0" fontId="51" fillId="0" borderId="20" xfId="0" applyFont="1" applyBorder="1" applyAlignment="1">
      <alignment horizontal="left" vertical="center"/>
    </xf>
    <xf numFmtId="187" fontId="36" fillId="0" borderId="10" xfId="0" applyNumberFormat="1" applyFont="1" applyFill="1" applyBorder="1" applyAlignment="1">
      <alignment horizontal="center" vertical="center"/>
    </xf>
    <xf numFmtId="0" fontId="50" fillId="0" borderId="0" xfId="0" applyFont="1" applyAlignment="1">
      <alignment horizontal="center" vertical="center"/>
    </xf>
    <xf numFmtId="0" fontId="51" fillId="0" borderId="0" xfId="0" applyFont="1" applyAlignment="1">
      <alignment horizontal="center" vertical="center"/>
    </xf>
    <xf numFmtId="0" fontId="55" fillId="19" borderId="20" xfId="0" applyFont="1" applyFill="1" applyBorder="1" applyAlignment="1">
      <alignment horizontal="right" vertical="center"/>
    </xf>
    <xf numFmtId="49" fontId="52" fillId="0" borderId="15" xfId="0" applyNumberFormat="1" applyFont="1" applyBorder="1" applyAlignment="1">
      <alignment vertical="center"/>
    </xf>
    <xf numFmtId="49" fontId="52" fillId="0" borderId="0" xfId="0" applyNumberFormat="1" applyFont="1" applyAlignment="1">
      <alignment vertical="center"/>
    </xf>
    <xf numFmtId="0" fontId="51" fillId="0" borderId="20" xfId="0" applyFont="1" applyBorder="1" applyAlignment="1">
      <alignment vertical="center"/>
    </xf>
    <xf numFmtId="49" fontId="52" fillId="0" borderId="0" xfId="0" applyNumberFormat="1" applyFont="1" applyBorder="1" applyAlignment="1">
      <alignment vertical="center"/>
    </xf>
    <xf numFmtId="1" fontId="53" fillId="18" borderId="0" xfId="0" applyNumberFormat="1" applyFont="1" applyFill="1" applyAlignment="1">
      <alignment vertical="center"/>
    </xf>
    <xf numFmtId="0" fontId="51" fillId="0" borderId="19" xfId="0" applyFont="1" applyBorder="1" applyAlignment="1">
      <alignment vertical="center"/>
    </xf>
    <xf numFmtId="0" fontId="56" fillId="0" borderId="19" xfId="0" applyFont="1" applyBorder="1" applyAlignment="1">
      <alignment horizontal="center" vertical="center"/>
    </xf>
    <xf numFmtId="0" fontId="51" fillId="0" borderId="0" xfId="0" applyFont="1" applyAlignment="1">
      <alignment vertical="center"/>
    </xf>
    <xf numFmtId="0" fontId="54" fillId="0" borderId="0" xfId="0" applyFont="1" applyAlignment="1">
      <alignment vertical="center"/>
    </xf>
    <xf numFmtId="0" fontId="57" fillId="0" borderId="0" xfId="0" applyFont="1" applyAlignment="1">
      <alignment vertical="center"/>
    </xf>
    <xf numFmtId="0" fontId="55" fillId="19" borderId="0" xfId="0" applyFont="1" applyFill="1" applyBorder="1" applyAlignment="1">
      <alignment horizontal="right" vertical="center"/>
    </xf>
    <xf numFmtId="0" fontId="52" fillId="0" borderId="0" xfId="0" applyFont="1" applyBorder="1" applyAlignment="1">
      <alignment vertical="center"/>
    </xf>
    <xf numFmtId="0" fontId="56" fillId="0" borderId="15" xfId="0" applyFont="1" applyBorder="1" applyAlignment="1">
      <alignment horizontal="center" vertical="center"/>
    </xf>
    <xf numFmtId="0" fontId="0" fillId="0" borderId="21" xfId="0" applyFont="1" applyBorder="1" applyAlignment="1">
      <alignment vertical="center"/>
    </xf>
    <xf numFmtId="0" fontId="58" fillId="0" borderId="0" xfId="0" applyFont="1" applyAlignment="1">
      <alignment vertical="center"/>
    </xf>
    <xf numFmtId="49" fontId="49" fillId="0" borderId="0" xfId="0" applyNumberFormat="1" applyFont="1" applyFill="1" applyAlignment="1">
      <alignment horizontal="center" vertical="center"/>
    </xf>
    <xf numFmtId="49" fontId="53" fillId="18" borderId="0" xfId="0" applyNumberFormat="1" applyFont="1" applyFill="1" applyAlignment="1">
      <alignment horizontal="left" vertical="center"/>
    </xf>
    <xf numFmtId="49" fontId="59" fillId="18" borderId="0" xfId="0" applyNumberFormat="1" applyFont="1" applyFill="1" applyAlignment="1">
      <alignment vertical="center"/>
    </xf>
    <xf numFmtId="49" fontId="60" fillId="18" borderId="0" xfId="0" applyNumberFormat="1" applyFont="1" applyFill="1" applyAlignment="1">
      <alignment horizontal="right" vertical="center"/>
    </xf>
    <xf numFmtId="0" fontId="32" fillId="18" borderId="0" xfId="0" applyFont="1" applyFill="1" applyBorder="1" applyAlignment="1">
      <alignment horizontal="center" vertical="center"/>
    </xf>
    <xf numFmtId="0" fontId="35" fillId="18" borderId="0" xfId="0" applyFont="1" applyFill="1" applyBorder="1" applyAlignment="1">
      <alignment horizontal="center" vertical="center"/>
    </xf>
    <xf numFmtId="0" fontId="32" fillId="18" borderId="0" xfId="0" applyFont="1" applyFill="1" applyBorder="1" applyAlignment="1">
      <alignment vertical="center"/>
    </xf>
    <xf numFmtId="0" fontId="42" fillId="18" borderId="0" xfId="0" applyFont="1" applyFill="1" applyBorder="1" applyAlignment="1">
      <alignment vertical="center"/>
    </xf>
    <xf numFmtId="0" fontId="35" fillId="18" borderId="0" xfId="0" applyFont="1" applyFill="1" applyBorder="1" applyAlignment="1">
      <alignment vertical="center"/>
    </xf>
    <xf numFmtId="2" fontId="32" fillId="18" borderId="0" xfId="0" applyNumberFormat="1" applyFont="1" applyFill="1" applyBorder="1" applyAlignment="1">
      <alignment vertical="center"/>
    </xf>
    <xf numFmtId="0" fontId="45" fillId="18" borderId="0" xfId="0" applyFont="1" applyFill="1" applyBorder="1" applyAlignment="1">
      <alignment vertical="center"/>
    </xf>
    <xf numFmtId="0" fontId="42" fillId="18" borderId="0" xfId="0" applyFont="1" applyFill="1" applyBorder="1" applyAlignment="1">
      <alignment horizontal="center" vertical="center"/>
    </xf>
    <xf numFmtId="0" fontId="61" fillId="18" borderId="0" xfId="0" applyFont="1" applyFill="1" applyBorder="1" applyAlignment="1">
      <alignment vertical="center"/>
    </xf>
    <xf numFmtId="0" fontId="32" fillId="18" borderId="0" xfId="0" applyNumberFormat="1" applyFont="1" applyFill="1" applyBorder="1" applyAlignment="1">
      <alignment vertical="center"/>
    </xf>
    <xf numFmtId="0" fontId="32" fillId="18" borderId="0" xfId="0" applyNumberFormat="1" applyFont="1" applyFill="1" applyBorder="1" applyAlignment="1">
      <alignment horizontal="center" vertical="center"/>
    </xf>
    <xf numFmtId="1" fontId="32" fillId="18" borderId="0" xfId="0" applyNumberFormat="1" applyFont="1" applyFill="1" applyBorder="1" applyAlignment="1">
      <alignment horizontal="center" vertical="center"/>
    </xf>
    <xf numFmtId="2" fontId="42" fillId="18" borderId="0" xfId="0" applyNumberFormat="1" applyFont="1" applyFill="1" applyBorder="1" applyAlignment="1">
      <alignment horizontal="center" vertical="center"/>
    </xf>
    <xf numFmtId="49" fontId="0" fillId="18" borderId="0" xfId="0" applyNumberFormat="1" applyFont="1" applyFill="1" applyAlignment="1">
      <alignment vertical="center"/>
    </xf>
    <xf numFmtId="49" fontId="49" fillId="18" borderId="15" xfId="0" applyNumberFormat="1" applyFont="1" applyFill="1" applyBorder="1" applyAlignment="1">
      <alignment horizontal="left" vertical="center"/>
    </xf>
    <xf numFmtId="1" fontId="49" fillId="18" borderId="15" xfId="0" applyNumberFormat="1" applyFont="1" applyFill="1" applyBorder="1" applyAlignment="1">
      <alignment horizontal="center" vertical="center"/>
    </xf>
    <xf numFmtId="0" fontId="36" fillId="0" borderId="10" xfId="0" applyFont="1" applyFill="1" applyBorder="1" applyAlignment="1">
      <alignment vertical="center"/>
    </xf>
    <xf numFmtId="1" fontId="36" fillId="0" borderId="10" xfId="0" applyNumberFormat="1" applyFont="1" applyFill="1" applyBorder="1" applyAlignment="1">
      <alignment vertical="center"/>
    </xf>
    <xf numFmtId="1" fontId="36" fillId="0" borderId="10" xfId="0" applyNumberFormat="1" applyFont="1" applyBorder="1" applyAlignment="1">
      <alignment vertical="center"/>
    </xf>
    <xf numFmtId="0" fontId="36" fillId="0" borderId="0" xfId="0" applyFont="1" applyBorder="1" applyAlignment="1">
      <alignment vertical="center"/>
    </xf>
    <xf numFmtId="49" fontId="63" fillId="18" borderId="0" xfId="0" applyNumberFormat="1" applyFont="1" applyFill="1" applyAlignment="1">
      <alignment horizontal="center" vertical="center"/>
    </xf>
    <xf numFmtId="49" fontId="64" fillId="0" borderId="0" xfId="0" applyNumberFormat="1" applyFont="1" applyAlignment="1">
      <alignment vertical="center"/>
    </xf>
    <xf numFmtId="49" fontId="64" fillId="0" borderId="0" xfId="0" applyNumberFormat="1" applyFont="1" applyAlignment="1">
      <alignment horizontal="center" vertical="center"/>
    </xf>
    <xf numFmtId="49" fontId="64" fillId="18" borderId="0" xfId="0" applyNumberFormat="1" applyFont="1" applyFill="1" applyAlignment="1">
      <alignment vertical="center"/>
    </xf>
    <xf numFmtId="49" fontId="65" fillId="18" borderId="0" xfId="0" applyNumberFormat="1" applyFont="1" applyFill="1" applyAlignment="1">
      <alignment vertical="center"/>
    </xf>
    <xf numFmtId="0" fontId="0" fillId="18" borderId="0" xfId="0" applyFill="1" applyAlignment="1">
      <alignment vertical="center"/>
    </xf>
    <xf numFmtId="0" fontId="0" fillId="0" borderId="0" xfId="0" applyAlignment="1">
      <alignment vertical="center"/>
    </xf>
    <xf numFmtId="0" fontId="37" fillId="0" borderId="11" xfId="0" applyFont="1" applyFill="1" applyBorder="1" applyAlignment="1">
      <alignment vertical="center"/>
    </xf>
    <xf numFmtId="0" fontId="37" fillId="0" borderId="12" xfId="0" applyFont="1" applyFill="1" applyBorder="1" applyAlignment="1">
      <alignment vertical="center"/>
    </xf>
    <xf numFmtId="0" fontId="37" fillId="0" borderId="22" xfId="0" applyFont="1" applyFill="1" applyBorder="1" applyAlignment="1">
      <alignment vertical="center"/>
    </xf>
    <xf numFmtId="49" fontId="66" fillId="0" borderId="12" xfId="0" applyNumberFormat="1" applyFont="1" applyFill="1" applyBorder="1" applyAlignment="1">
      <alignment horizontal="center" vertical="center"/>
    </xf>
    <xf numFmtId="49" fontId="66" fillId="0" borderId="12" xfId="0" applyNumberFormat="1" applyFont="1" applyFill="1" applyBorder="1" applyAlignment="1">
      <alignment vertical="center"/>
    </xf>
    <xf numFmtId="49" fontId="66" fillId="0" borderId="12" xfId="0" applyNumberFormat="1" applyFont="1" applyFill="1" applyBorder="1" applyAlignment="1">
      <alignment horizontal="centerContinuous" vertical="center"/>
    </xf>
    <xf numFmtId="49" fontId="66" fillId="0" borderId="13" xfId="0" applyNumberFormat="1" applyFont="1" applyFill="1" applyBorder="1" applyAlignment="1">
      <alignment horizontal="right" vertical="center"/>
    </xf>
    <xf numFmtId="49" fontId="37" fillId="0" borderId="12" xfId="0" applyNumberFormat="1" applyFont="1" applyFill="1" applyBorder="1" applyAlignment="1">
      <alignment horizontal="center" vertical="center"/>
    </xf>
    <xf numFmtId="49" fontId="37" fillId="0" borderId="12" xfId="0" applyNumberFormat="1" applyFont="1" applyFill="1" applyBorder="1" applyAlignment="1">
      <alignment vertical="center"/>
    </xf>
    <xf numFmtId="49" fontId="66" fillId="0" borderId="12" xfId="0" applyNumberFormat="1" applyFont="1" applyFill="1" applyBorder="1" applyAlignment="1">
      <alignment horizontal="right" vertical="center"/>
    </xf>
    <xf numFmtId="49" fontId="67" fillId="0" borderId="13" xfId="0" applyNumberFormat="1" applyFont="1" applyFill="1" applyBorder="1" applyAlignment="1">
      <alignment vertical="center"/>
    </xf>
    <xf numFmtId="49" fontId="37" fillId="0" borderId="12" xfId="0" applyNumberFormat="1" applyFont="1" applyFill="1" applyBorder="1" applyAlignment="1">
      <alignment horizontal="left" vertical="center"/>
    </xf>
    <xf numFmtId="0" fontId="43" fillId="0" borderId="0" xfId="0" applyFont="1" applyAlignment="1">
      <alignment vertical="center"/>
    </xf>
    <xf numFmtId="0" fontId="44" fillId="18" borderId="0" xfId="0" applyFont="1" applyFill="1" applyBorder="1" applyAlignment="1">
      <alignment vertical="center"/>
    </xf>
    <xf numFmtId="49" fontId="43" fillId="0" borderId="23" xfId="0" applyNumberFormat="1" applyFont="1" applyFill="1" applyBorder="1" applyAlignment="1">
      <alignment vertical="center"/>
    </xf>
    <xf numFmtId="49" fontId="43" fillId="0" borderId="0" xfId="0" applyNumberFormat="1" applyFont="1" applyFill="1" applyAlignment="1">
      <alignment vertical="center"/>
    </xf>
    <xf numFmtId="49" fontId="43" fillId="0" borderId="20" xfId="0" applyNumberFormat="1" applyFont="1" applyFill="1" applyBorder="1" applyAlignment="1">
      <alignment horizontal="right" vertical="center"/>
    </xf>
    <xf numFmtId="0" fontId="43" fillId="0" borderId="0" xfId="0" applyFont="1" applyFill="1" applyAlignment="1">
      <alignment vertical="center"/>
    </xf>
    <xf numFmtId="0" fontId="43" fillId="0" borderId="0" xfId="0" applyFont="1" applyFill="1" applyAlignment="1">
      <alignment horizontal="center" vertical="center"/>
    </xf>
    <xf numFmtId="0" fontId="53" fillId="0" borderId="0" xfId="0" applyFont="1" applyFill="1" applyBorder="1" applyAlignment="1">
      <alignment horizontal="center" vertical="center"/>
    </xf>
    <xf numFmtId="49" fontId="43" fillId="0" borderId="24" xfId="0" applyNumberFormat="1" applyFont="1" applyFill="1" applyBorder="1" applyAlignment="1">
      <alignment horizontal="center" vertical="center"/>
    </xf>
    <xf numFmtId="49" fontId="44" fillId="0" borderId="20" xfId="0" applyNumberFormat="1" applyFont="1" applyFill="1" applyBorder="1" applyAlignment="1">
      <alignment vertical="center"/>
    </xf>
    <xf numFmtId="49" fontId="37" fillId="0" borderId="24" xfId="0" applyNumberFormat="1" applyFont="1" applyFill="1" applyBorder="1" applyAlignment="1">
      <alignment vertical="center"/>
    </xf>
    <xf numFmtId="49" fontId="37" fillId="0" borderId="25" xfId="0" applyNumberFormat="1" applyFont="1" applyFill="1" applyBorder="1" applyAlignment="1">
      <alignment vertical="center"/>
    </xf>
    <xf numFmtId="49" fontId="43" fillId="0" borderId="23" xfId="0" applyNumberFormat="1" applyFont="1" applyFill="1" applyBorder="1" applyAlignment="1">
      <alignment horizontal="center" vertical="center"/>
    </xf>
    <xf numFmtId="0" fontId="43" fillId="0" borderId="15" xfId="0" applyFont="1" applyFill="1" applyBorder="1" applyAlignment="1">
      <alignment vertical="center"/>
    </xf>
    <xf numFmtId="49" fontId="44" fillId="0" borderId="15" xfId="0" applyNumberFormat="1" applyFont="1" applyFill="1" applyBorder="1" applyAlignment="1">
      <alignment vertical="center"/>
    </xf>
    <xf numFmtId="49" fontId="43" fillId="0" borderId="15" xfId="0" applyNumberFormat="1" applyFont="1" applyFill="1" applyBorder="1" applyAlignment="1">
      <alignment vertical="center"/>
    </xf>
    <xf numFmtId="49" fontId="44" fillId="0" borderId="19" xfId="0" applyNumberFormat="1" applyFont="1" applyFill="1" applyBorder="1" applyAlignment="1">
      <alignment vertical="center"/>
    </xf>
    <xf numFmtId="49" fontId="43" fillId="0" borderId="24" xfId="0" applyNumberFormat="1" applyFont="1" applyFill="1" applyBorder="1" applyAlignment="1">
      <alignment vertical="center"/>
    </xf>
    <xf numFmtId="49" fontId="43" fillId="0" borderId="25" xfId="0" applyNumberFormat="1" applyFont="1" applyFill="1" applyBorder="1" applyAlignment="1">
      <alignment vertical="center"/>
    </xf>
    <xf numFmtId="49" fontId="43" fillId="0" borderId="17" xfId="0" applyNumberFormat="1" applyFont="1" applyFill="1" applyBorder="1" applyAlignment="1">
      <alignment horizontal="right" vertical="center"/>
    </xf>
    <xf numFmtId="0" fontId="43" fillId="0" borderId="23" xfId="0" applyFont="1" applyFill="1" applyBorder="1" applyAlignment="1">
      <alignment vertical="center"/>
    </xf>
    <xf numFmtId="0" fontId="37" fillId="0" borderId="23" xfId="0" applyFont="1" applyFill="1" applyBorder="1" applyAlignment="1">
      <alignment vertical="center"/>
    </xf>
    <xf numFmtId="0" fontId="37" fillId="0" borderId="0" xfId="0" applyFont="1" applyFill="1" applyBorder="1" applyAlignment="1">
      <alignment vertical="center"/>
    </xf>
    <xf numFmtId="0" fontId="37" fillId="0" borderId="26" xfId="0" applyFont="1" applyFill="1" applyBorder="1" applyAlignment="1">
      <alignment vertical="center"/>
    </xf>
    <xf numFmtId="0" fontId="44" fillId="18" borderId="0" xfId="0" applyFont="1" applyFill="1" applyBorder="1" applyAlignment="1">
      <alignment horizontal="center" vertical="center"/>
    </xf>
    <xf numFmtId="0" fontId="43" fillId="0" borderId="20" xfId="0" applyFont="1" applyFill="1" applyBorder="1" applyAlignment="1">
      <alignment horizontal="right" vertical="center"/>
    </xf>
    <xf numFmtId="49" fontId="43" fillId="0" borderId="27" xfId="0" applyNumberFormat="1" applyFont="1" applyFill="1" applyBorder="1" applyAlignment="1">
      <alignment vertical="center"/>
    </xf>
    <xf numFmtId="0" fontId="43" fillId="0" borderId="19" xfId="0" applyFont="1" applyFill="1" applyBorder="1" applyAlignment="1">
      <alignment horizontal="right" vertical="center"/>
    </xf>
    <xf numFmtId="49" fontId="43" fillId="0" borderId="15" xfId="0" applyNumberFormat="1" applyFont="1" applyFill="1" applyBorder="1" applyAlignment="1">
      <alignment horizontal="center" vertical="center"/>
    </xf>
    <xf numFmtId="0" fontId="43" fillId="0" borderId="15" xfId="0" applyFont="1" applyFill="1" applyBorder="1" applyAlignment="1">
      <alignment horizontal="center" vertical="center"/>
    </xf>
    <xf numFmtId="0" fontId="53" fillId="0" borderId="15" xfId="0" applyFont="1" applyFill="1" applyBorder="1" applyAlignment="1">
      <alignment horizontal="center" vertical="center"/>
    </xf>
    <xf numFmtId="49" fontId="43" fillId="0" borderId="27" xfId="0" applyNumberFormat="1" applyFont="1" applyFill="1" applyBorder="1" applyAlignment="1">
      <alignment horizontal="center" vertical="center"/>
    </xf>
    <xf numFmtId="0" fontId="43" fillId="0" borderId="0" xfId="0" applyFont="1" applyAlignment="1">
      <alignment/>
    </xf>
    <xf numFmtId="0" fontId="35" fillId="0" borderId="0" xfId="0" applyFont="1" applyAlignment="1">
      <alignment/>
    </xf>
    <xf numFmtId="0" fontId="44" fillId="0" borderId="0" xfId="0" applyFont="1" applyAlignment="1">
      <alignment/>
    </xf>
    <xf numFmtId="49" fontId="73" fillId="0" borderId="0" xfId="0" applyNumberFormat="1" applyFont="1" applyAlignment="1">
      <alignment horizontal="left"/>
    </xf>
    <xf numFmtId="0" fontId="53" fillId="0" borderId="15" xfId="0" applyFont="1" applyBorder="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left" vertical="center"/>
    </xf>
    <xf numFmtId="0" fontId="53" fillId="0" borderId="20" xfId="0" applyFont="1" applyBorder="1" applyAlignment="1">
      <alignment vertical="center"/>
    </xf>
    <xf numFmtId="0" fontId="53" fillId="0" borderId="19" xfId="0" applyFont="1" applyBorder="1" applyAlignment="1">
      <alignment vertical="center"/>
    </xf>
    <xf numFmtId="0" fontId="49" fillId="0" borderId="19" xfId="0" applyFont="1" applyBorder="1" applyAlignment="1">
      <alignment horizontal="center" vertical="center"/>
    </xf>
    <xf numFmtId="0" fontId="49" fillId="0" borderId="15" xfId="0" applyFont="1" applyBorder="1" applyAlignment="1">
      <alignment horizontal="center" vertical="center"/>
    </xf>
    <xf numFmtId="0" fontId="55" fillId="0" borderId="0" xfId="0" applyFont="1" applyFill="1" applyBorder="1" applyAlignment="1">
      <alignment horizontal="right" vertical="center"/>
    </xf>
    <xf numFmtId="49" fontId="62" fillId="18" borderId="0" xfId="0" applyNumberFormat="1" applyFont="1" applyFill="1" applyAlignment="1">
      <alignment vertical="center"/>
    </xf>
    <xf numFmtId="49" fontId="49" fillId="18" borderId="0" xfId="0" applyNumberFormat="1" applyFont="1" applyFill="1" applyBorder="1" applyAlignment="1">
      <alignment vertical="center"/>
    </xf>
    <xf numFmtId="1" fontId="49" fillId="18" borderId="0" xfId="0" applyNumberFormat="1" applyFont="1" applyFill="1" applyBorder="1" applyAlignment="1">
      <alignment horizontal="center" vertical="center"/>
    </xf>
    <xf numFmtId="0" fontId="0" fillId="18" borderId="0" xfId="0" applyFont="1" applyFill="1" applyBorder="1" applyAlignment="1">
      <alignment vertical="center"/>
    </xf>
    <xf numFmtId="49" fontId="53" fillId="18" borderId="10" xfId="0" applyNumberFormat="1" applyFont="1" applyFill="1" applyBorder="1" applyAlignment="1">
      <alignment vertical="center"/>
    </xf>
    <xf numFmtId="1" fontId="53" fillId="18" borderId="10" xfId="0" applyNumberFormat="1" applyFont="1" applyFill="1" applyBorder="1" applyAlignment="1">
      <alignment horizontal="center" vertical="center"/>
    </xf>
    <xf numFmtId="0" fontId="44" fillId="0" borderId="0" xfId="0" applyFont="1" applyAlignment="1">
      <alignment vertical="center"/>
    </xf>
    <xf numFmtId="49" fontId="25" fillId="0" borderId="0" xfId="0" applyNumberFormat="1" applyFont="1" applyAlignment="1">
      <alignment vertical="top"/>
    </xf>
    <xf numFmtId="0" fontId="25" fillId="0" borderId="0" xfId="0" applyFont="1" applyAlignment="1">
      <alignment vertical="top"/>
    </xf>
    <xf numFmtId="0" fontId="31" fillId="0" borderId="0" xfId="0" applyFont="1" applyAlignment="1">
      <alignment vertical="top"/>
    </xf>
    <xf numFmtId="0" fontId="74" fillId="0" borderId="0" xfId="0" applyFont="1" applyAlignment="1">
      <alignment horizontal="left"/>
    </xf>
    <xf numFmtId="0" fontId="30" fillId="0" borderId="0" xfId="0" applyFont="1" applyAlignment="1">
      <alignment horizontal="left"/>
    </xf>
    <xf numFmtId="0" fontId="30" fillId="0" borderId="0" xfId="0" applyFont="1" applyAlignment="1">
      <alignment/>
    </xf>
    <xf numFmtId="0" fontId="34" fillId="0" borderId="0" xfId="0" applyFont="1" applyAlignment="1">
      <alignment/>
    </xf>
    <xf numFmtId="0" fontId="39" fillId="0" borderId="0" xfId="0" applyFont="1" applyAlignment="1">
      <alignment horizontal="left"/>
    </xf>
    <xf numFmtId="0" fontId="37" fillId="10" borderId="0" xfId="0" applyFont="1" applyFill="1" applyAlignment="1">
      <alignment vertical="center"/>
    </xf>
    <xf numFmtId="0" fontId="67" fillId="10" borderId="0" xfId="0" applyFont="1" applyFill="1" applyAlignment="1">
      <alignment vertical="center"/>
    </xf>
    <xf numFmtId="49" fontId="37" fillId="10" borderId="0" xfId="0" applyNumberFormat="1" applyFont="1" applyFill="1" applyAlignment="1">
      <alignment horizontal="left" vertical="center"/>
    </xf>
    <xf numFmtId="49" fontId="66" fillId="10" borderId="0" xfId="0" applyNumberFormat="1" applyFont="1" applyFill="1" applyAlignment="1">
      <alignment horizontal="right" vertical="center"/>
    </xf>
    <xf numFmtId="14" fontId="36" fillId="0" borderId="14" xfId="0" applyNumberFormat="1" applyFont="1" applyBorder="1" applyAlignment="1">
      <alignment horizontal="left" vertical="center"/>
    </xf>
    <xf numFmtId="0" fontId="36" fillId="0" borderId="14" xfId="0" applyFont="1" applyBorder="1" applyAlignment="1">
      <alignment vertical="center"/>
    </xf>
    <xf numFmtId="0" fontId="32" fillId="0" borderId="14" xfId="0" applyFont="1" applyBorder="1" applyAlignment="1">
      <alignment vertical="center"/>
    </xf>
    <xf numFmtId="49" fontId="32" fillId="0" borderId="14" xfId="0" applyNumberFormat="1" applyFont="1" applyBorder="1" applyAlignment="1">
      <alignment horizontal="center" vertical="center"/>
    </xf>
    <xf numFmtId="0" fontId="36" fillId="0" borderId="14" xfId="70" applyNumberFormat="1" applyFont="1" applyBorder="1" applyAlignment="1" applyProtection="1">
      <alignment horizontal="left" vertical="center"/>
      <protection locked="0"/>
    </xf>
    <xf numFmtId="49" fontId="41" fillId="0" borderId="14" xfId="0" applyNumberFormat="1" applyFont="1" applyBorder="1" applyAlignment="1">
      <alignment horizontal="right" vertical="center"/>
    </xf>
    <xf numFmtId="0" fontId="43" fillId="0" borderId="0" xfId="0" applyFont="1" applyFill="1" applyAlignment="1">
      <alignment horizontal="right" vertical="center"/>
    </xf>
    <xf numFmtId="0" fontId="43"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Alignment="1">
      <alignment vertical="center"/>
    </xf>
    <xf numFmtId="0" fontId="38" fillId="0" borderId="0" xfId="0" applyFont="1" applyFill="1" applyAlignment="1">
      <alignment horizontal="right" vertical="center"/>
    </xf>
    <xf numFmtId="0" fontId="38" fillId="0" borderId="0" xfId="0" applyFont="1" applyAlignment="1">
      <alignment horizontal="left" vertical="center"/>
    </xf>
    <xf numFmtId="0" fontId="0"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vertical="center"/>
    </xf>
    <xf numFmtId="0" fontId="49" fillId="0" borderId="0" xfId="0" applyFont="1" applyFill="1" applyAlignment="1">
      <alignment horizontal="center" vertical="center"/>
    </xf>
    <xf numFmtId="1" fontId="50" fillId="0" borderId="15" xfId="0" applyNumberFormat="1" applyFont="1" applyFill="1" applyBorder="1" applyAlignment="1">
      <alignment horizontal="center" vertical="center"/>
    </xf>
    <xf numFmtId="0" fontId="30" fillId="0" borderId="15" xfId="0" applyFont="1" applyBorder="1" applyAlignment="1">
      <alignment vertical="center"/>
    </xf>
    <xf numFmtId="0" fontId="53" fillId="0" borderId="0" xfId="0" applyFont="1" applyFill="1" applyAlignment="1">
      <alignment horizontal="center" vertical="center"/>
    </xf>
    <xf numFmtId="0" fontId="53" fillId="0" borderId="0" xfId="0" applyFont="1" applyBorder="1" applyAlignment="1">
      <alignment horizontal="center" vertical="center"/>
    </xf>
    <xf numFmtId="0" fontId="50" fillId="0" borderId="0" xfId="0" applyFont="1" applyFill="1" applyBorder="1" applyAlignment="1">
      <alignment horizontal="center" vertical="center"/>
    </xf>
    <xf numFmtId="0" fontId="60" fillId="0" borderId="19" xfId="0" applyFont="1" applyBorder="1" applyAlignment="1">
      <alignment horizontal="right" vertical="center"/>
    </xf>
    <xf numFmtId="0" fontId="49" fillId="0" borderId="0" xfId="0" applyFont="1" applyAlignment="1">
      <alignment vertical="center"/>
    </xf>
    <xf numFmtId="0" fontId="53" fillId="0" borderId="0" xfId="0" applyFont="1" applyAlignment="1">
      <alignment horizontal="right" vertical="center"/>
    </xf>
    <xf numFmtId="0" fontId="53" fillId="0" borderId="0" xfId="0" applyFont="1" applyAlignment="1">
      <alignment vertical="center"/>
    </xf>
    <xf numFmtId="0" fontId="56" fillId="0" borderId="20" xfId="0" applyFont="1" applyBorder="1" applyAlignment="1">
      <alignment horizontal="center" vertical="center"/>
    </xf>
    <xf numFmtId="0" fontId="52" fillId="0" borderId="0" xfId="0" applyFont="1" applyAlignment="1">
      <alignment horizontal="left" vertical="center"/>
    </xf>
    <xf numFmtId="0" fontId="51" fillId="0" borderId="0" xfId="0" applyFont="1" applyAlignment="1">
      <alignment horizontal="left" vertical="center"/>
    </xf>
    <xf numFmtId="0" fontId="52" fillId="0" borderId="15" xfId="0" applyFont="1" applyBorder="1" applyAlignment="1">
      <alignment horizontal="left" vertical="center"/>
    </xf>
    <xf numFmtId="0" fontId="60" fillId="0" borderId="15" xfId="0" applyFont="1" applyBorder="1" applyAlignment="1">
      <alignment horizontal="right" vertical="center"/>
    </xf>
    <xf numFmtId="0" fontId="53" fillId="0" borderId="15" xfId="0" applyFont="1" applyBorder="1" applyAlignment="1">
      <alignment horizontal="right" vertical="center"/>
    </xf>
    <xf numFmtId="0" fontId="53" fillId="0" borderId="0" xfId="0" applyFont="1" applyAlignment="1">
      <alignment horizontal="left" vertical="center"/>
    </xf>
    <xf numFmtId="0" fontId="53" fillId="0" borderId="0" xfId="0" applyFont="1" applyAlignment="1">
      <alignment horizontal="center" vertical="center"/>
    </xf>
    <xf numFmtId="0" fontId="53" fillId="0" borderId="0" xfId="0" applyFont="1" applyAlignment="1">
      <alignment horizontal="right" vertical="center"/>
    </xf>
    <xf numFmtId="0" fontId="59" fillId="0" borderId="0" xfId="0" applyFont="1" applyAlignment="1">
      <alignment vertical="center"/>
    </xf>
    <xf numFmtId="0" fontId="60" fillId="0" borderId="0" xfId="0" applyFont="1" applyAlignment="1">
      <alignment horizontal="right" vertical="center"/>
    </xf>
    <xf numFmtId="0" fontId="53" fillId="0" borderId="0" xfId="0" applyFont="1" applyFill="1" applyAlignment="1">
      <alignment horizontal="center" vertical="center"/>
    </xf>
    <xf numFmtId="0" fontId="60" fillId="0" borderId="20" xfId="0" applyFont="1" applyBorder="1" applyAlignment="1">
      <alignment horizontal="right" vertical="center"/>
    </xf>
    <xf numFmtId="0" fontId="50" fillId="0" borderId="15" xfId="0" applyFont="1" applyFill="1" applyBorder="1" applyAlignment="1">
      <alignment horizontal="center" vertical="center"/>
    </xf>
    <xf numFmtId="0" fontId="51" fillId="18" borderId="0" xfId="0" applyFont="1" applyFill="1" applyAlignment="1">
      <alignment horizontal="right" vertical="center"/>
    </xf>
    <xf numFmtId="0" fontId="51" fillId="18" borderId="15" xfId="0" applyFont="1" applyFill="1" applyBorder="1" applyAlignment="1">
      <alignment horizontal="right" vertical="center"/>
    </xf>
    <xf numFmtId="0" fontId="53" fillId="0" borderId="0" xfId="0" applyFont="1" applyBorder="1" applyAlignment="1">
      <alignment vertical="center"/>
    </xf>
    <xf numFmtId="0" fontId="60" fillId="18" borderId="0" xfId="0" applyFont="1" applyFill="1" applyAlignment="1">
      <alignment horizontal="right" vertical="center"/>
    </xf>
    <xf numFmtId="0" fontId="50" fillId="18" borderId="0" xfId="0" applyFont="1" applyFill="1" applyBorder="1" applyAlignment="1">
      <alignment horizontal="center" vertical="center"/>
    </xf>
    <xf numFmtId="0" fontId="0" fillId="0" borderId="0" xfId="0" applyFont="1" applyAlignment="1">
      <alignment/>
    </xf>
    <xf numFmtId="0" fontId="49" fillId="0" borderId="0" xfId="0" applyFont="1" applyFill="1" applyAlignment="1">
      <alignment horizontal="center" vertical="center"/>
    </xf>
    <xf numFmtId="0" fontId="50" fillId="21" borderId="0" xfId="0" applyFont="1" applyFill="1" applyBorder="1" applyAlignment="1">
      <alignment horizontal="center" vertical="center"/>
    </xf>
    <xf numFmtId="0" fontId="49" fillId="0" borderId="0" xfId="0" applyFont="1" applyAlignment="1">
      <alignment vertical="center"/>
    </xf>
    <xf numFmtId="0" fontId="30" fillId="0" borderId="0" xfId="0" applyFont="1" applyAlignment="1">
      <alignment vertical="center"/>
    </xf>
    <xf numFmtId="0" fontId="53" fillId="18" borderId="0" xfId="0" applyFont="1" applyFill="1" applyAlignment="1">
      <alignment horizontal="center" vertical="center"/>
    </xf>
    <xf numFmtId="49" fontId="53" fillId="18" borderId="0" xfId="0" applyNumberFormat="1" applyFont="1" applyFill="1" applyAlignment="1">
      <alignment horizontal="center" vertical="center"/>
    </xf>
    <xf numFmtId="1" fontId="53" fillId="18" borderId="0" xfId="0" applyNumberFormat="1" applyFont="1" applyFill="1" applyAlignment="1">
      <alignment horizontal="center" vertical="center"/>
    </xf>
    <xf numFmtId="49" fontId="53" fillId="0" borderId="0" xfId="0" applyNumberFormat="1" applyFont="1" applyAlignment="1">
      <alignment vertical="center"/>
    </xf>
    <xf numFmtId="49" fontId="51" fillId="0" borderId="0" xfId="0" applyNumberFormat="1" applyFont="1" applyAlignment="1">
      <alignment horizontal="center" vertical="center"/>
    </xf>
    <xf numFmtId="49" fontId="0" fillId="0" borderId="0" xfId="0" applyNumberFormat="1" applyAlignment="1">
      <alignment vertical="center"/>
    </xf>
    <xf numFmtId="0" fontId="0" fillId="0" borderId="0" xfId="0" applyAlignment="1">
      <alignment/>
    </xf>
    <xf numFmtId="49" fontId="67" fillId="0" borderId="12" xfId="0" applyNumberFormat="1" applyFont="1" applyFill="1" applyBorder="1" applyAlignment="1">
      <alignment vertical="center"/>
    </xf>
    <xf numFmtId="1" fontId="43" fillId="0" borderId="20" xfId="0" applyNumberFormat="1" applyFont="1" applyFill="1" applyBorder="1" applyAlignment="1">
      <alignment vertical="center"/>
    </xf>
    <xf numFmtId="49" fontId="75" fillId="0" borderId="0" xfId="0" applyNumberFormat="1" applyFont="1" applyFill="1" applyAlignment="1">
      <alignment horizontal="center" vertical="center"/>
    </xf>
    <xf numFmtId="49" fontId="43" fillId="0" borderId="20" xfId="0" applyNumberFormat="1" applyFont="1" applyFill="1" applyBorder="1" applyAlignment="1">
      <alignment vertical="center"/>
    </xf>
    <xf numFmtId="49" fontId="37" fillId="0" borderId="0" xfId="0" applyNumberFormat="1" applyFont="1" applyFill="1" applyAlignment="1">
      <alignment vertical="center"/>
    </xf>
    <xf numFmtId="49" fontId="43" fillId="0" borderId="19" xfId="0" applyNumberFormat="1" applyFont="1" applyFill="1" applyBorder="1" applyAlignment="1">
      <alignment vertical="center"/>
    </xf>
    <xf numFmtId="49" fontId="75" fillId="0" borderId="15" xfId="0" applyNumberFormat="1" applyFont="1" applyFill="1" applyBorder="1" applyAlignment="1">
      <alignment horizontal="center" vertical="center"/>
    </xf>
    <xf numFmtId="49" fontId="27" fillId="0" borderId="0" xfId="0" applyNumberFormat="1" applyFont="1" applyAlignment="1">
      <alignment vertical="top"/>
    </xf>
    <xf numFmtId="49" fontId="32" fillId="0" borderId="14" xfId="0" applyNumberFormat="1" applyFont="1" applyBorder="1" applyAlignment="1">
      <alignment vertical="center"/>
    </xf>
    <xf numFmtId="0" fontId="36" fillId="0" borderId="14" xfId="0" applyFont="1" applyBorder="1" applyAlignment="1">
      <alignment horizontal="center" vertical="center"/>
    </xf>
    <xf numFmtId="0" fontId="76" fillId="0" borderId="15" xfId="0" applyFont="1" applyFill="1" applyBorder="1" applyAlignment="1">
      <alignment horizontal="center" vertical="center"/>
    </xf>
    <xf numFmtId="0" fontId="76" fillId="21" borderId="0" xfId="0" applyFont="1" applyFill="1" applyBorder="1" applyAlignment="1">
      <alignment horizontal="center" vertical="center"/>
    </xf>
    <xf numFmtId="49" fontId="77" fillId="0" borderId="0" xfId="0" applyNumberFormat="1" applyFont="1" applyAlignment="1">
      <alignment horizontal="left"/>
    </xf>
    <xf numFmtId="0" fontId="35" fillId="0" borderId="0" xfId="0" applyFont="1" applyAlignment="1">
      <alignment horizontal="center" vertical="top"/>
    </xf>
    <xf numFmtId="0" fontId="78" fillId="0" borderId="0" xfId="0" applyFont="1" applyFill="1" applyBorder="1" applyAlignment="1">
      <alignment horizontal="left" vertical="top"/>
    </xf>
    <xf numFmtId="0" fontId="26" fillId="0" borderId="0" xfId="0" applyFont="1" applyFill="1" applyBorder="1" applyAlignment="1">
      <alignment vertical="top"/>
    </xf>
    <xf numFmtId="0" fontId="35" fillId="0" borderId="0" xfId="0" applyFont="1" applyFill="1" applyBorder="1" applyAlignment="1">
      <alignment vertical="top"/>
    </xf>
    <xf numFmtId="0" fontId="35" fillId="0" borderId="0" xfId="0" applyFont="1" applyAlignment="1">
      <alignment horizontal="center"/>
    </xf>
    <xf numFmtId="49" fontId="36" fillId="0" borderId="0" xfId="0" applyNumberFormat="1" applyFont="1" applyFill="1" applyBorder="1" applyAlignment="1">
      <alignment horizontal="right" vertical="center"/>
    </xf>
    <xf numFmtId="49" fontId="36" fillId="0" borderId="0" xfId="0" applyNumberFormat="1" applyFont="1" applyFill="1" applyBorder="1" applyAlignment="1">
      <alignment horizontal="left" vertical="center"/>
    </xf>
    <xf numFmtId="0" fontId="36" fillId="0" borderId="0" xfId="0" applyFont="1" applyFill="1" applyBorder="1" applyAlignment="1">
      <alignment/>
    </xf>
    <xf numFmtId="0" fontId="0" fillId="0" borderId="0" xfId="0" applyFont="1" applyFill="1" applyBorder="1" applyAlignment="1">
      <alignment/>
    </xf>
    <xf numFmtId="0" fontId="35" fillId="0" borderId="0" xfId="0" applyFont="1" applyFill="1" applyBorder="1" applyAlignment="1">
      <alignment/>
    </xf>
    <xf numFmtId="49" fontId="67" fillId="10" borderId="0" xfId="0" applyNumberFormat="1" applyFont="1" applyFill="1" applyAlignment="1">
      <alignment vertical="center"/>
    </xf>
    <xf numFmtId="49" fontId="37" fillId="10" borderId="0" xfId="0" applyNumberFormat="1" applyFont="1" applyFill="1" applyAlignment="1">
      <alignment horizontal="right" vertical="center"/>
    </xf>
    <xf numFmtId="0" fontId="35" fillId="0" borderId="0" xfId="0" applyFont="1" applyAlignment="1">
      <alignment horizontal="center" vertical="center"/>
    </xf>
    <xf numFmtId="0" fontId="39" fillId="0" borderId="11" xfId="0" applyFont="1" applyBorder="1" applyAlignment="1">
      <alignment vertical="center"/>
    </xf>
    <xf numFmtId="0" fontId="36" fillId="0" borderId="12" xfId="0" applyFont="1" applyFill="1" applyBorder="1" applyAlignment="1">
      <alignment vertical="center"/>
    </xf>
    <xf numFmtId="0" fontId="36" fillId="0" borderId="13" xfId="0" applyFont="1" applyFill="1" applyBorder="1" applyAlignment="1">
      <alignment horizontal="center" vertical="center"/>
    </xf>
    <xf numFmtId="0" fontId="36"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5" fillId="0" borderId="0" xfId="0" applyFont="1" applyFill="1" applyBorder="1" applyAlignment="1">
      <alignment vertical="center"/>
    </xf>
    <xf numFmtId="0" fontId="38" fillId="0" borderId="0" xfId="0" applyFont="1" applyFill="1" applyBorder="1" applyAlignment="1">
      <alignment vertical="center"/>
    </xf>
    <xf numFmtId="49" fontId="36" fillId="0" borderId="14" xfId="0" applyNumberFormat="1" applyFont="1" applyBorder="1" applyAlignment="1">
      <alignment horizontal="left" vertical="center"/>
    </xf>
    <xf numFmtId="0" fontId="61" fillId="0" borderId="0" xfId="0" applyFont="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horizontal="center" vertical="center"/>
    </xf>
    <xf numFmtId="0" fontId="61" fillId="0" borderId="0" xfId="0" applyFont="1" applyFill="1" applyBorder="1" applyAlignment="1">
      <alignment vertical="center"/>
    </xf>
    <xf numFmtId="49" fontId="44" fillId="0" borderId="0" xfId="0" applyNumberFormat="1" applyFont="1" applyFill="1" applyAlignment="1">
      <alignment horizontal="left" vertical="center"/>
    </xf>
    <xf numFmtId="0" fontId="38" fillId="0" borderId="10" xfId="0" applyFont="1" applyFill="1" applyBorder="1" applyAlignment="1">
      <alignment vertical="center"/>
    </xf>
    <xf numFmtId="0" fontId="36" fillId="0" borderId="10" xfId="0" applyFont="1" applyFill="1" applyBorder="1" applyAlignment="1">
      <alignment horizontal="center" vertical="center"/>
    </xf>
    <xf numFmtId="0" fontId="39" fillId="0" borderId="10" xfId="0" applyFont="1" applyFill="1" applyBorder="1" applyAlignment="1">
      <alignment horizontal="center" vertical="center"/>
    </xf>
    <xf numFmtId="49" fontId="79" fillId="0" borderId="0" xfId="0" applyNumberFormat="1" applyFont="1" applyAlignment="1">
      <alignment horizontal="left" vertical="center"/>
    </xf>
    <xf numFmtId="0" fontId="38" fillId="9" borderId="10" xfId="0" applyFont="1" applyFill="1" applyBorder="1" applyAlignment="1">
      <alignment vertical="center"/>
    </xf>
    <xf numFmtId="0" fontId="36" fillId="9" borderId="10" xfId="0" applyFont="1" applyFill="1" applyBorder="1" applyAlignment="1">
      <alignment vertical="center"/>
    </xf>
    <xf numFmtId="0" fontId="36" fillId="9" borderId="10" xfId="0" applyFont="1" applyFill="1" applyBorder="1" applyAlignment="1">
      <alignment horizontal="center" vertical="center"/>
    </xf>
    <xf numFmtId="0" fontId="79" fillId="9" borderId="10" xfId="0" applyFont="1" applyFill="1" applyBorder="1" applyAlignment="1">
      <alignment horizontal="center" vertical="center"/>
    </xf>
    <xf numFmtId="0" fontId="36" fillId="0" borderId="10" xfId="0" applyFont="1" applyFill="1" applyBorder="1" applyAlignment="1" applyProtection="1">
      <alignment horizontal="center" vertical="center"/>
      <protection hidden="1"/>
    </xf>
    <xf numFmtId="1" fontId="39" fillId="0" borderId="10" xfId="0" applyNumberFormat="1" applyFont="1" applyFill="1" applyBorder="1" applyAlignment="1">
      <alignment horizontal="center" vertical="center"/>
    </xf>
    <xf numFmtId="0" fontId="0" fillId="0" borderId="0" xfId="0" applyFont="1" applyFill="1" applyBorder="1" applyAlignment="1">
      <alignment vertical="center"/>
    </xf>
    <xf numFmtId="0" fontId="36" fillId="10" borderId="10" xfId="0" applyNumberFormat="1" applyFont="1" applyFill="1" applyBorder="1" applyAlignment="1">
      <alignment vertical="center"/>
    </xf>
    <xf numFmtId="0" fontId="36" fillId="10" borderId="10" xfId="0" applyFont="1" applyFill="1" applyBorder="1" applyAlignment="1">
      <alignment horizontal="center" vertical="center"/>
    </xf>
    <xf numFmtId="1" fontId="39" fillId="10" borderId="10" xfId="0" applyNumberFormat="1" applyFont="1" applyFill="1" applyBorder="1" applyAlignment="1">
      <alignment horizontal="center" vertical="center"/>
    </xf>
    <xf numFmtId="49" fontId="51" fillId="0" borderId="15" xfId="0" applyNumberFormat="1" applyFont="1" applyBorder="1" applyAlignment="1">
      <alignment vertical="center"/>
    </xf>
    <xf numFmtId="49" fontId="51" fillId="0" borderId="0" xfId="0" applyNumberFormat="1" applyFont="1" applyAlignment="1">
      <alignment vertical="center"/>
    </xf>
    <xf numFmtId="0" fontId="36" fillId="10" borderId="10" xfId="0" applyFont="1" applyFill="1" applyBorder="1" applyAlignment="1">
      <alignment vertical="center"/>
    </xf>
    <xf numFmtId="49" fontId="51" fillId="0" borderId="20" xfId="0" applyNumberFormat="1" applyFont="1" applyBorder="1" applyAlignment="1">
      <alignment vertical="center"/>
    </xf>
    <xf numFmtId="0" fontId="51" fillId="18" borderId="20" xfId="0" applyFont="1" applyFill="1" applyBorder="1" applyAlignment="1">
      <alignment vertical="center"/>
    </xf>
    <xf numFmtId="49" fontId="51" fillId="0" borderId="19" xfId="0" applyNumberFormat="1" applyFont="1" applyBorder="1" applyAlignment="1">
      <alignment vertical="center"/>
    </xf>
    <xf numFmtId="1" fontId="51" fillId="0" borderId="19" xfId="0" applyNumberFormat="1" applyFont="1" applyBorder="1" applyAlignment="1">
      <alignment vertical="center"/>
    </xf>
    <xf numFmtId="1" fontId="51" fillId="18" borderId="15" xfId="0" applyNumberFormat="1" applyFont="1" applyFill="1" applyBorder="1" applyAlignment="1">
      <alignment vertical="center"/>
    </xf>
    <xf numFmtId="0" fontId="51" fillId="18" borderId="19" xfId="0" applyFont="1" applyFill="1" applyBorder="1" applyAlignment="1">
      <alignment vertical="center"/>
    </xf>
    <xf numFmtId="0" fontId="53" fillId="18" borderId="0" xfId="0" applyFont="1" applyFill="1" applyAlignment="1">
      <alignment horizontal="right" vertical="center"/>
    </xf>
    <xf numFmtId="0" fontId="60" fillId="0" borderId="0" xfId="0" applyFont="1" applyAlignment="1">
      <alignment vertical="center"/>
    </xf>
    <xf numFmtId="0" fontId="51" fillId="0" borderId="19" xfId="0" applyFont="1" applyBorder="1" applyAlignment="1">
      <alignment horizontal="right" vertical="center"/>
    </xf>
    <xf numFmtId="0" fontId="55" fillId="19" borderId="0" xfId="0" applyFont="1" applyFill="1" applyAlignment="1">
      <alignment horizontal="right" vertical="center"/>
    </xf>
    <xf numFmtId="0" fontId="62" fillId="0" borderId="0" xfId="0" applyFont="1" applyBorder="1" applyAlignment="1">
      <alignment vertical="center"/>
    </xf>
    <xf numFmtId="0" fontId="0" fillId="0" borderId="0" xfId="0" applyFont="1" applyBorder="1" applyAlignment="1">
      <alignment vertical="center"/>
    </xf>
    <xf numFmtId="0" fontId="35" fillId="0" borderId="0" xfId="0" applyFont="1" applyBorder="1" applyAlignment="1">
      <alignment horizontal="center" vertical="center"/>
    </xf>
    <xf numFmtId="187" fontId="42" fillId="18" borderId="0" xfId="0" applyNumberFormat="1" applyFont="1" applyFill="1" applyBorder="1" applyAlignment="1">
      <alignment horizontal="center" vertical="center"/>
    </xf>
    <xf numFmtId="49" fontId="32" fillId="18" borderId="0" xfId="0" applyNumberFormat="1" applyFont="1" applyFill="1" applyBorder="1" applyAlignment="1">
      <alignment vertical="center"/>
    </xf>
    <xf numFmtId="0" fontId="51" fillId="18" borderId="15" xfId="0" applyFont="1" applyFill="1" applyBorder="1" applyAlignment="1">
      <alignment vertical="center"/>
    </xf>
    <xf numFmtId="0" fontId="36" fillId="0" borderId="0" xfId="0" applyFont="1" applyFill="1" applyBorder="1" applyAlignment="1">
      <alignment vertical="center"/>
    </xf>
    <xf numFmtId="0" fontId="36" fillId="0" borderId="0" xfId="0" applyFont="1" applyAlignment="1">
      <alignment vertical="center"/>
    </xf>
    <xf numFmtId="1" fontId="35" fillId="0" borderId="0" xfId="0" applyNumberFormat="1" applyFont="1" applyFill="1" applyBorder="1" applyAlignment="1">
      <alignment horizontal="center" vertical="center"/>
    </xf>
    <xf numFmtId="0" fontId="51" fillId="18" borderId="0" xfId="0" applyFont="1" applyFill="1" applyBorder="1" applyAlignment="1">
      <alignment vertical="center"/>
    </xf>
    <xf numFmtId="0" fontId="35" fillId="18" borderId="0" xfId="0" applyFont="1" applyFill="1" applyAlignment="1">
      <alignment vertical="center"/>
    </xf>
    <xf numFmtId="49" fontId="49" fillId="0" borderId="0" xfId="0" applyNumberFormat="1" applyFont="1" applyFill="1" applyBorder="1" applyAlignment="1">
      <alignment horizontal="center" vertical="center"/>
    </xf>
    <xf numFmtId="1" fontId="49" fillId="0" borderId="0" xfId="0" applyNumberFormat="1" applyFont="1" applyFill="1" applyBorder="1" applyAlignment="1">
      <alignment horizontal="center" vertical="center"/>
    </xf>
    <xf numFmtId="0" fontId="36" fillId="0" borderId="10" xfId="0" applyFont="1" applyFill="1" applyBorder="1" applyAlignment="1">
      <alignment horizontal="right" vertical="center"/>
    </xf>
    <xf numFmtId="0" fontId="36" fillId="0" borderId="10" xfId="0" applyFont="1" applyBorder="1" applyAlignment="1">
      <alignment horizontal="right" vertical="center"/>
    </xf>
    <xf numFmtId="49" fontId="65" fillId="0" borderId="0" xfId="0" applyNumberFormat="1" applyFont="1" applyAlignment="1">
      <alignment horizontal="center" vertical="center"/>
    </xf>
    <xf numFmtId="49" fontId="66" fillId="0" borderId="13" xfId="0" applyNumberFormat="1" applyFont="1" applyFill="1" applyBorder="1" applyAlignment="1">
      <alignment horizontal="center" vertical="center"/>
    </xf>
    <xf numFmtId="49" fontId="67" fillId="0" borderId="12" xfId="0" applyNumberFormat="1" applyFont="1" applyFill="1" applyBorder="1" applyAlignment="1">
      <alignment horizontal="left" vertical="center"/>
    </xf>
    <xf numFmtId="0" fontId="53" fillId="0" borderId="0" xfId="0" applyFont="1" applyFill="1" applyBorder="1" applyAlignment="1">
      <alignment horizontal="left" vertical="center"/>
    </xf>
    <xf numFmtId="49" fontId="67" fillId="0" borderId="25" xfId="0" applyNumberFormat="1" applyFont="1" applyFill="1" applyBorder="1" applyAlignment="1">
      <alignment vertical="center"/>
    </xf>
    <xf numFmtId="49" fontId="43" fillId="0" borderId="19" xfId="0" applyNumberFormat="1" applyFont="1" applyFill="1" applyBorder="1" applyAlignment="1">
      <alignment horizontal="right" vertical="center"/>
    </xf>
    <xf numFmtId="49" fontId="43" fillId="0" borderId="0" xfId="0" applyNumberFormat="1" applyFont="1" applyFill="1" applyBorder="1" applyAlignment="1">
      <alignment vertical="center"/>
    </xf>
    <xf numFmtId="0" fontId="53" fillId="0" borderId="15" xfId="0" applyFont="1" applyFill="1" applyBorder="1" applyAlignment="1">
      <alignment horizontal="left" vertical="center"/>
    </xf>
    <xf numFmtId="0" fontId="43" fillId="0" borderId="0" xfId="0" applyFont="1" applyBorder="1" applyAlignment="1">
      <alignment vertical="center"/>
    </xf>
    <xf numFmtId="0" fontId="35" fillId="0" borderId="0" xfId="0" applyFont="1" applyBorder="1" applyAlignment="1">
      <alignment vertical="center"/>
    </xf>
    <xf numFmtId="0" fontId="0" fillId="0" borderId="0" xfId="0" applyFont="1" applyBorder="1" applyAlignment="1">
      <alignment/>
    </xf>
    <xf numFmtId="0" fontId="35" fillId="0" borderId="0" xfId="0" applyFont="1" applyBorder="1" applyAlignment="1">
      <alignment/>
    </xf>
    <xf numFmtId="0" fontId="33" fillId="0" borderId="0" xfId="0" applyFont="1" applyBorder="1" applyAlignment="1">
      <alignment vertical="top"/>
    </xf>
    <xf numFmtId="0" fontId="36" fillId="0" borderId="0" xfId="0" applyFont="1" applyAlignment="1">
      <alignment horizontal="center" vertical="top"/>
    </xf>
    <xf numFmtId="0" fontId="26" fillId="0" borderId="0" xfId="0" applyFont="1" applyAlignment="1">
      <alignment horizontal="center" vertical="top"/>
    </xf>
    <xf numFmtId="49" fontId="36" fillId="0" borderId="0" xfId="0" applyNumberFormat="1" applyFont="1" applyFill="1" applyAlignment="1">
      <alignment horizontal="right" vertical="center"/>
    </xf>
    <xf numFmtId="0" fontId="36" fillId="0" borderId="0" xfId="0" applyFont="1" applyAlignment="1">
      <alignment horizontal="left" vertical="top"/>
    </xf>
    <xf numFmtId="0" fontId="36" fillId="0" borderId="0" xfId="0" applyFont="1" applyAlignment="1">
      <alignment horizontal="center"/>
    </xf>
    <xf numFmtId="0" fontId="0" fillId="0" borderId="0" xfId="0" applyFont="1" applyAlignment="1">
      <alignment horizontal="center"/>
    </xf>
    <xf numFmtId="49" fontId="0" fillId="0" borderId="14" xfId="0" applyNumberFormat="1" applyFont="1" applyBorder="1" applyAlignment="1">
      <alignment vertical="center"/>
    </xf>
    <xf numFmtId="0" fontId="0" fillId="0" borderId="0" xfId="0" applyAlignment="1">
      <alignment horizontal="center"/>
    </xf>
    <xf numFmtId="0" fontId="0" fillId="0" borderId="0" xfId="0" applyFont="1" applyAlignment="1">
      <alignment horizontal="center" vertical="center"/>
    </xf>
    <xf numFmtId="190" fontId="0" fillId="0" borderId="0" xfId="0" applyNumberFormat="1" applyFont="1" applyAlignment="1">
      <alignment horizontal="center" vertical="center"/>
    </xf>
    <xf numFmtId="49" fontId="38" fillId="0" borderId="0" xfId="0" applyNumberFormat="1" applyFont="1" applyAlignment="1">
      <alignment vertical="center"/>
    </xf>
    <xf numFmtId="0" fontId="55" fillId="19" borderId="15" xfId="0" applyFont="1" applyFill="1" applyBorder="1" applyAlignment="1">
      <alignment horizontal="right" vertical="center"/>
    </xf>
    <xf numFmtId="0" fontId="0" fillId="0" borderId="28" xfId="0" applyFont="1" applyBorder="1" applyAlignment="1">
      <alignment vertical="center"/>
    </xf>
    <xf numFmtId="1" fontId="32" fillId="0" borderId="0" xfId="0" applyNumberFormat="1" applyFont="1" applyBorder="1" applyAlignment="1">
      <alignment horizontal="left" vertical="center"/>
    </xf>
    <xf numFmtId="0" fontId="36" fillId="0" borderId="10" xfId="0" applyFont="1" applyBorder="1" applyAlignment="1" applyProtection="1">
      <alignment horizontal="center" vertical="center"/>
      <protection hidden="1"/>
    </xf>
    <xf numFmtId="1" fontId="39" fillId="0" borderId="10" xfId="0" applyNumberFormat="1" applyFont="1" applyBorder="1" applyAlignment="1">
      <alignment horizontal="center" vertical="center"/>
    </xf>
    <xf numFmtId="0" fontId="35" fillId="0" borderId="0" xfId="0" applyFont="1" applyAlignment="1">
      <alignment vertical="center"/>
    </xf>
    <xf numFmtId="0" fontId="0" fillId="0" borderId="29" xfId="0" applyFont="1" applyBorder="1" applyAlignment="1">
      <alignment vertical="center"/>
    </xf>
    <xf numFmtId="1" fontId="39" fillId="20" borderId="10" xfId="0" applyNumberFormat="1" applyFont="1" applyFill="1" applyBorder="1" applyAlignment="1">
      <alignment horizontal="center" vertical="center"/>
    </xf>
    <xf numFmtId="0" fontId="55" fillId="19" borderId="19" xfId="0" applyFont="1" applyFill="1" applyBorder="1" applyAlignment="1">
      <alignment horizontal="right" vertical="center"/>
    </xf>
    <xf numFmtId="0" fontId="0" fillId="0" borderId="30" xfId="0" applyFont="1" applyBorder="1" applyAlignment="1">
      <alignment vertical="center"/>
    </xf>
    <xf numFmtId="1" fontId="35" fillId="0" borderId="0" xfId="0" applyNumberFormat="1" applyFont="1" applyAlignment="1">
      <alignment vertical="center"/>
    </xf>
    <xf numFmtId="1" fontId="36" fillId="0" borderId="10" xfId="0" applyNumberFormat="1" applyFont="1" applyFill="1" applyBorder="1" applyAlignment="1">
      <alignment horizontal="center" vertical="center"/>
    </xf>
    <xf numFmtId="1" fontId="36" fillId="0" borderId="10" xfId="0" applyNumberFormat="1" applyFont="1" applyBorder="1" applyAlignment="1">
      <alignment horizontal="center" vertical="center"/>
    </xf>
    <xf numFmtId="49" fontId="37" fillId="0" borderId="13" xfId="0" applyNumberFormat="1" applyFont="1" applyFill="1" applyBorder="1" applyAlignment="1">
      <alignment vertical="center"/>
    </xf>
    <xf numFmtId="0" fontId="43" fillId="0" borderId="0" xfId="0" applyFont="1" applyAlignment="1">
      <alignment horizontal="center" vertical="center"/>
    </xf>
    <xf numFmtId="0" fontId="0" fillId="0" borderId="0" xfId="0" applyBorder="1" applyAlignment="1">
      <alignment/>
    </xf>
    <xf numFmtId="0" fontId="36" fillId="0" borderId="0" xfId="0" applyFont="1" applyBorder="1" applyAlignment="1">
      <alignment/>
    </xf>
    <xf numFmtId="49" fontId="37" fillId="10" borderId="0" xfId="0" applyNumberFormat="1" applyFont="1" applyFill="1" applyAlignment="1">
      <alignment horizontal="center" vertical="center"/>
    </xf>
    <xf numFmtId="0" fontId="42" fillId="18" borderId="0" xfId="0" applyFont="1" applyFill="1" applyBorder="1" applyAlignment="1">
      <alignment horizontal="center" vertical="center"/>
    </xf>
    <xf numFmtId="49" fontId="43" fillId="0" borderId="15" xfId="0" applyNumberFormat="1" applyFont="1" applyFill="1" applyBorder="1" applyAlignment="1">
      <alignment horizontal="left" vertical="center"/>
    </xf>
    <xf numFmtId="49" fontId="43" fillId="0" borderId="19" xfId="0" applyNumberFormat="1" applyFont="1" applyFill="1" applyBorder="1" applyAlignment="1">
      <alignment horizontal="left" vertical="center"/>
    </xf>
    <xf numFmtId="14" fontId="43" fillId="0" borderId="27" xfId="0" applyNumberFormat="1" applyFont="1" applyFill="1" applyBorder="1" applyAlignment="1">
      <alignment horizontal="center" vertical="center"/>
    </xf>
    <xf numFmtId="14" fontId="43" fillId="0" borderId="15" xfId="0" applyNumberFormat="1" applyFont="1" applyFill="1" applyBorder="1" applyAlignment="1">
      <alignment horizontal="center" vertical="center"/>
    </xf>
    <xf numFmtId="49" fontId="43" fillId="0" borderId="0" xfId="0" applyNumberFormat="1" applyFont="1" applyFill="1" applyAlignment="1">
      <alignment horizontal="left" vertical="center"/>
    </xf>
    <xf numFmtId="49" fontId="43" fillId="0" borderId="20" xfId="0" applyNumberFormat="1" applyFont="1" applyFill="1" applyBorder="1" applyAlignment="1">
      <alignment horizontal="left" vertical="center"/>
    </xf>
    <xf numFmtId="0" fontId="62" fillId="0" borderId="23" xfId="0" applyFont="1" applyBorder="1" applyAlignment="1">
      <alignment horizontal="center" vertical="center"/>
    </xf>
    <xf numFmtId="0" fontId="62" fillId="0" borderId="0" xfId="0" applyFont="1" applyAlignment="1">
      <alignment horizontal="center" vertical="center"/>
    </xf>
    <xf numFmtId="0" fontId="62" fillId="0" borderId="0" xfId="0" applyFont="1" applyBorder="1" applyAlignment="1">
      <alignment horizontal="center" vertical="center"/>
    </xf>
    <xf numFmtId="22" fontId="37" fillId="0" borderId="12" xfId="0" applyNumberFormat="1" applyFont="1" applyFill="1" applyBorder="1" applyAlignment="1">
      <alignment horizontal="left" vertical="center"/>
    </xf>
    <xf numFmtId="0" fontId="0" fillId="0" borderId="13" xfId="0" applyBorder="1" applyAlignment="1">
      <alignment vertical="center"/>
    </xf>
    <xf numFmtId="14" fontId="43" fillId="0" borderId="27" xfId="0" applyNumberFormat="1" applyFont="1" applyFill="1" applyBorder="1" applyAlignment="1">
      <alignment horizontal="left" vertical="center"/>
    </xf>
    <xf numFmtId="14" fontId="43" fillId="0" borderId="15" xfId="0" applyNumberFormat="1" applyFont="1" applyFill="1" applyBorder="1" applyAlignment="1">
      <alignment horizontal="left" vertical="center"/>
    </xf>
    <xf numFmtId="14" fontId="43" fillId="0" borderId="19" xfId="0" applyNumberFormat="1" applyFont="1" applyFill="1" applyBorder="1" applyAlignment="1">
      <alignment horizontal="left" vertical="center"/>
    </xf>
    <xf numFmtId="0" fontId="0" fillId="0" borderId="0" xfId="0" applyAlignment="1">
      <alignment horizontal="center" vertical="center"/>
    </xf>
    <xf numFmtId="49" fontId="36" fillId="0" borderId="14" xfId="0" applyNumberFormat="1" applyFont="1" applyBorder="1" applyAlignment="1">
      <alignment horizontal="center" vertical="center"/>
    </xf>
    <xf numFmtId="0" fontId="0" fillId="0" borderId="14" xfId="0" applyBorder="1" applyAlignment="1">
      <alignment horizontal="center" vertical="center"/>
    </xf>
    <xf numFmtId="49" fontId="41" fillId="0" borderId="14" xfId="0" applyNumberFormat="1" applyFont="1" applyBorder="1" applyAlignment="1">
      <alignment horizontal="right" vertical="center"/>
    </xf>
    <xf numFmtId="0" fontId="0" fillId="0" borderId="14" xfId="0" applyBorder="1" applyAlignment="1">
      <alignment vertical="center"/>
    </xf>
    <xf numFmtId="49" fontId="36" fillId="0" borderId="14" xfId="0" applyNumberFormat="1" applyFont="1" applyBorder="1" applyAlignment="1">
      <alignment vertical="center"/>
    </xf>
    <xf numFmtId="0" fontId="42" fillId="18" borderId="0" xfId="0" applyFont="1" applyFill="1" applyBorder="1" applyAlignment="1">
      <alignment horizontal="left" vertical="center"/>
    </xf>
    <xf numFmtId="0" fontId="62" fillId="0" borderId="0" xfId="0" applyFont="1" applyBorder="1" applyAlignment="1">
      <alignment horizontal="left" vertical="center"/>
    </xf>
  </cellXfs>
  <cellStyles count="6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0" xfId="34"/>
    <cellStyle name="Date" xfId="35"/>
    <cellStyle name="Dobro" xfId="36"/>
    <cellStyle name="Fixed" xfId="37"/>
    <cellStyle name="Heading 1" xfId="38"/>
    <cellStyle name="Heading 2" xfId="39"/>
    <cellStyle name="Hyperlink" xfId="40"/>
    <cellStyle name="Izhod" xfId="41"/>
    <cellStyle name="Naslov" xfId="42"/>
    <cellStyle name="Naslov 1" xfId="43"/>
    <cellStyle name="Naslov 2" xfId="44"/>
    <cellStyle name="Naslov 3" xfId="45"/>
    <cellStyle name="Naslov 4" xfId="46"/>
    <cellStyle name="Navadno 16" xfId="47"/>
    <cellStyle name="Navadno 2" xfId="48"/>
    <cellStyle name="Navadno 3" xfId="49"/>
    <cellStyle name="Navadno 4" xfId="50"/>
    <cellStyle name="Navadno 4 2" xfId="51"/>
    <cellStyle name="Nevtralno" xfId="52"/>
    <cellStyle name="Normal_32_1" xfId="53"/>
    <cellStyle name="Followed Hyperlink" xfId="54"/>
    <cellStyle name="Percent" xfId="55"/>
    <cellStyle name="Opomba" xfId="56"/>
    <cellStyle name="Opozorilo" xfId="57"/>
    <cellStyle name="Pojasnjevalno besedilo" xfId="58"/>
    <cellStyle name="Poudarek1" xfId="59"/>
    <cellStyle name="Poudarek2" xfId="60"/>
    <cellStyle name="Poudarek3" xfId="61"/>
    <cellStyle name="Poudarek4" xfId="62"/>
    <cellStyle name="Poudarek5" xfId="63"/>
    <cellStyle name="Poudarek6" xfId="64"/>
    <cellStyle name="Povezana celica" xfId="65"/>
    <cellStyle name="Preveri celico" xfId="66"/>
    <cellStyle name="Računanje" xfId="67"/>
    <cellStyle name="Slabo" xfId="68"/>
    <cellStyle name="Total" xfId="69"/>
    <cellStyle name="Currency" xfId="70"/>
    <cellStyle name="Currency [0]" xfId="71"/>
    <cellStyle name="Comma" xfId="72"/>
    <cellStyle name="Comma [0]" xfId="73"/>
    <cellStyle name="Vnos" xfId="74"/>
    <cellStyle name="Vsota" xfId="75"/>
  </cellStyles>
  <dxfs count="127">
    <dxf>
      <font>
        <b/>
        <i val="0"/>
        <color auto="1"/>
      </font>
      <fill>
        <patternFill patternType="solid">
          <bgColor indexed="9"/>
        </patternFill>
      </fill>
    </dxf>
    <dxf>
      <font>
        <b/>
        <i val="0"/>
        <color indexed="9"/>
      </font>
      <fill>
        <patternFill patternType="solid">
          <bgColor indexed="9"/>
        </patternFill>
      </fill>
    </dxf>
    <dxf>
      <font>
        <i val="0"/>
        <color indexed="11"/>
      </font>
    </dxf>
    <dxf>
      <font>
        <b/>
        <i val="0"/>
        <color indexed="11"/>
      </font>
    </dxf>
    <dxf>
      <font>
        <b val="0"/>
        <i/>
        <color indexed="10"/>
      </font>
    </dxf>
    <dxf>
      <font>
        <i val="0"/>
        <color indexed="9"/>
      </font>
      <fill>
        <patternFill>
          <bgColor indexed="9"/>
        </patternFill>
      </fill>
    </dxf>
    <dxf>
      <font>
        <color indexed="9"/>
      </font>
      <fill>
        <patternFill>
          <bgColor indexed="9"/>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font>
        <i val="0"/>
        <color indexed="11"/>
      </font>
    </dxf>
    <dxf>
      <font>
        <b/>
        <i val="0"/>
        <color indexed="11"/>
      </font>
    </dxf>
    <dxf>
      <font>
        <b val="0"/>
        <i/>
        <color indexed="10"/>
      </font>
    </dxf>
    <dxf>
      <font>
        <i val="0"/>
        <color indexed="9"/>
      </font>
      <fill>
        <patternFill>
          <bgColor indexed="9"/>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val="0"/>
        <i val="0"/>
        <color indexed="9"/>
      </font>
      <fill>
        <patternFill patternType="solid">
          <bgColor indexed="9"/>
        </patternFill>
      </fill>
    </dxf>
    <dxf>
      <font>
        <b/>
        <i val="0"/>
        <color indexed="8"/>
      </font>
      <fill>
        <patternFill patternType="solid">
          <bgColor indexed="9"/>
        </patternFill>
      </fill>
    </dxf>
    <dxf>
      <font>
        <color auto="1"/>
      </font>
      <fill>
        <patternFill>
          <bgColor indexed="9"/>
        </patternFill>
      </fill>
    </dxf>
    <dxf>
      <font>
        <color auto="1"/>
      </font>
      <fill>
        <patternFill>
          <bgColor indexed="9"/>
        </patternFill>
      </fill>
    </dxf>
    <dxf>
      <font>
        <b/>
        <i val="0"/>
        <color auto="1"/>
      </font>
      <fill>
        <patternFill patternType="solid">
          <bgColor indexed="9"/>
        </patternFill>
      </fill>
    </dxf>
    <dxf>
      <font>
        <color indexed="42"/>
      </font>
      <fill>
        <patternFill>
          <bgColor indexed="9"/>
        </patternFill>
      </fill>
    </dxf>
    <dxf>
      <font>
        <color auto="1"/>
      </font>
      <fill>
        <patternFill>
          <bgColor indexed="9"/>
        </patternFill>
      </fill>
    </dxf>
    <dxf>
      <font>
        <b/>
        <i val="0"/>
        <color auto="1"/>
      </font>
      <fill>
        <patternFill patternType="solid">
          <bgColor indexed="9"/>
        </patternFill>
      </fill>
    </dxf>
    <dxf>
      <font>
        <color indexed="9"/>
      </font>
      <fill>
        <patternFill>
          <bgColor indexed="9"/>
        </patternFill>
      </fill>
    </dxf>
    <dxf>
      <font>
        <color indexed="9"/>
      </font>
      <fill>
        <patternFill>
          <bgColor indexed="9"/>
        </patternFill>
      </fill>
    </dxf>
    <dxf>
      <font>
        <b/>
        <i val="0"/>
        <color indexed="9"/>
      </font>
      <fill>
        <patternFill patternType="solid">
          <bgColor indexed="9"/>
        </patternFill>
      </fill>
    </dxf>
    <dxf>
      <fill>
        <patternFill>
          <bgColor indexed="9"/>
        </patternFill>
      </fill>
    </dxf>
    <dxf>
      <font>
        <i val="0"/>
        <color indexed="11"/>
      </font>
    </dxf>
    <dxf>
      <font>
        <b/>
        <i val="0"/>
        <color indexed="11"/>
      </font>
    </dxf>
    <dxf>
      <font>
        <b val="0"/>
        <i/>
        <color indexed="10"/>
      </font>
    </dxf>
    <dxf>
      <font>
        <b val="0"/>
        <i val="0"/>
      </font>
    </dxf>
    <dxf>
      <font>
        <b val="0"/>
        <i val="0"/>
        <color auto="1"/>
      </font>
    </dxf>
    <dxf>
      <font>
        <b val="0"/>
        <i val="0"/>
      </font>
    </dxf>
    <dxf>
      <font>
        <b val="0"/>
        <i val="0"/>
        <color auto="1"/>
      </font>
    </dxf>
    <dxf>
      <font>
        <b val="0"/>
        <i val="0"/>
        <color auto="1"/>
      </font>
    </dxf>
    <dxf>
      <font>
        <b val="0"/>
        <i val="0"/>
      </font>
    </dxf>
    <dxf>
      <font>
        <b val="0"/>
        <i val="0"/>
      </font>
    </dxf>
    <dxf>
      <font>
        <b val="0"/>
        <i val="0"/>
      </font>
    </dxf>
    <dxf>
      <font>
        <b/>
        <i val="0"/>
      </font>
    </dxf>
    <dxf>
      <font>
        <i val="0"/>
        <color indexed="9"/>
      </font>
      <fill>
        <patternFill>
          <bgColor indexed="42"/>
        </patternFill>
      </fill>
    </dxf>
    <dxf>
      <font>
        <b/>
        <i val="0"/>
      </font>
    </dxf>
    <dxf>
      <font>
        <b/>
        <i val="0"/>
      </font>
    </dxf>
    <dxf>
      <font>
        <b/>
        <i val="0"/>
      </font>
    </dxf>
    <dxf>
      <font>
        <b/>
        <i val="0"/>
      </font>
    </dxf>
    <dxf>
      <font>
        <b/>
        <i val="0"/>
      </font>
    </dxf>
    <dxf>
      <font>
        <b val="0"/>
        <i val="0"/>
      </font>
    </dxf>
    <dxf>
      <font>
        <b/>
        <i val="0"/>
      </font>
    </dxf>
    <dxf>
      <font>
        <b/>
        <i val="0"/>
      </font>
    </dxf>
    <dxf>
      <font>
        <i val="0"/>
        <color indexed="9"/>
      </font>
    </dxf>
    <dxf>
      <font>
        <b val="0"/>
        <i val="0"/>
        <color indexed="9"/>
      </font>
      <fill>
        <patternFill patternType="solid">
          <bgColor indexed="9"/>
        </patternFill>
      </fill>
    </dxf>
    <dxf>
      <font>
        <b/>
        <i val="0"/>
        <color indexed="8"/>
      </font>
      <fill>
        <patternFill patternType="solid">
          <bgColor indexed="9"/>
        </patternFill>
      </fill>
    </dxf>
    <dxf>
      <font>
        <color auto="1"/>
      </font>
      <fill>
        <patternFill>
          <bgColor indexed="9"/>
        </patternFill>
      </fill>
    </dxf>
    <dxf>
      <font>
        <color auto="1"/>
      </font>
      <fill>
        <patternFill>
          <bgColor indexed="9"/>
        </patternFill>
      </fill>
    </dxf>
    <dxf>
      <font>
        <b/>
        <i val="0"/>
        <color auto="1"/>
      </font>
      <fill>
        <patternFill patternType="solid">
          <bgColor indexed="9"/>
        </patternFill>
      </fill>
    </dxf>
    <dxf>
      <font>
        <color indexed="42"/>
      </font>
      <fill>
        <patternFill>
          <bgColor indexed="9"/>
        </patternFill>
      </fill>
    </dxf>
    <dxf>
      <font>
        <color auto="1"/>
      </font>
      <fill>
        <patternFill>
          <bgColor indexed="9"/>
        </patternFill>
      </fill>
    </dxf>
    <dxf>
      <font>
        <b/>
        <i val="0"/>
        <color auto="1"/>
      </font>
      <fill>
        <patternFill patternType="solid">
          <bgColor indexed="9"/>
        </patternFill>
      </fill>
    </dxf>
    <dxf>
      <font>
        <color indexed="9"/>
      </font>
      <fill>
        <patternFill>
          <bgColor indexed="9"/>
        </patternFill>
      </fill>
    </dxf>
    <dxf>
      <font>
        <color indexed="9"/>
      </font>
      <fill>
        <patternFill>
          <bgColor indexed="9"/>
        </patternFill>
      </fill>
    </dxf>
    <dxf>
      <font>
        <b/>
        <i val="0"/>
        <color indexed="9"/>
      </font>
      <fill>
        <patternFill patternType="solid">
          <bgColor indexed="9"/>
        </patternFill>
      </fill>
    </dxf>
    <dxf>
      <fill>
        <patternFill>
          <bgColor indexed="9"/>
        </patternFill>
      </fill>
    </dxf>
    <dxf>
      <font>
        <i val="0"/>
        <color indexed="11"/>
      </font>
    </dxf>
    <dxf>
      <font>
        <b/>
        <i val="0"/>
        <color indexed="11"/>
      </font>
    </dxf>
    <dxf>
      <font>
        <b val="0"/>
        <i/>
        <color indexed="10"/>
      </font>
    </dxf>
    <dxf>
      <font>
        <b val="0"/>
        <i val="0"/>
      </font>
    </dxf>
    <dxf>
      <font>
        <b val="0"/>
        <i val="0"/>
        <color auto="1"/>
      </font>
    </dxf>
    <dxf>
      <font>
        <b val="0"/>
        <i val="0"/>
      </font>
    </dxf>
    <dxf>
      <font>
        <b val="0"/>
        <i val="0"/>
        <color auto="1"/>
      </font>
    </dxf>
    <dxf>
      <font>
        <b val="0"/>
        <i val="0"/>
        <color auto="1"/>
      </font>
    </dxf>
    <dxf>
      <font>
        <b val="0"/>
        <i val="0"/>
      </font>
    </dxf>
    <dxf>
      <font>
        <b val="0"/>
        <i val="0"/>
      </font>
    </dxf>
    <dxf>
      <font>
        <b val="0"/>
        <i val="0"/>
      </font>
    </dxf>
    <dxf>
      <font>
        <b/>
        <i val="0"/>
      </font>
    </dxf>
    <dxf>
      <font>
        <i val="0"/>
        <color indexed="9"/>
      </font>
      <fill>
        <patternFill>
          <bgColor indexed="42"/>
        </patternFill>
      </fill>
    </dxf>
    <dxf>
      <font>
        <b/>
        <i val="0"/>
      </font>
    </dxf>
    <dxf>
      <font>
        <b/>
        <i val="0"/>
      </font>
    </dxf>
    <dxf>
      <font>
        <b/>
        <i val="0"/>
      </font>
    </dxf>
    <dxf>
      <font>
        <b/>
        <i val="0"/>
      </font>
    </dxf>
    <dxf>
      <font>
        <b/>
        <i val="0"/>
      </font>
    </dxf>
    <dxf>
      <font>
        <b val="0"/>
        <i val="0"/>
      </font>
    </dxf>
    <dxf>
      <font>
        <b/>
        <i val="0"/>
      </font>
    </dxf>
    <dxf>
      <font>
        <b/>
        <i val="0"/>
      </font>
    </dxf>
    <dxf>
      <font>
        <i val="0"/>
        <color indexed="9"/>
      </font>
    </dxf>
    <dxf>
      <font>
        <b/>
        <i val="0"/>
        <color auto="1"/>
      </font>
      <fill>
        <patternFill patternType="solid">
          <bgColor indexed="9"/>
        </patternFill>
      </fill>
    </dxf>
    <dxf>
      <font>
        <b/>
        <i val="0"/>
        <color indexed="9"/>
      </font>
      <fill>
        <patternFill patternType="solid">
          <bgColor indexed="9"/>
        </patternFill>
      </fill>
    </dxf>
    <dxf>
      <font>
        <b val="0"/>
        <i val="0"/>
        <color auto="1"/>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color auto="1"/>
      </font>
      <fill>
        <patternFill patternType="solid">
          <bgColor indexed="9"/>
        </patternFill>
      </fill>
    </dxf>
    <dxf>
      <font>
        <b/>
        <i val="0"/>
        <color indexed="9"/>
      </font>
      <fill>
        <patternFill patternType="solid">
          <bgColor indexed="9"/>
        </patternFill>
      </fill>
    </dxf>
    <dxf/>
    <dxf>
      <font>
        <b val="0"/>
        <i val="0"/>
        <color auto="1"/>
      </font>
    </dxf>
    <dxf>
      <fill>
        <patternFill>
          <bgColor indexed="9"/>
        </patternFill>
      </fill>
    </dxf>
    <dxf>
      <font>
        <b/>
        <i val="0"/>
        <color auto="1"/>
      </font>
    </dxf>
    <dxf>
      <font>
        <i val="0"/>
        <color indexed="11"/>
      </font>
    </dxf>
    <dxf>
      <font>
        <b/>
        <i val="0"/>
        <color indexed="11"/>
      </font>
    </dxf>
    <dxf>
      <font>
        <b val="0"/>
        <i/>
        <color indexed="1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0</xdr:row>
      <xdr:rowOff>19050</xdr:rowOff>
    </xdr:from>
    <xdr:to>
      <xdr:col>17</xdr:col>
      <xdr:colOff>9525</xdr:colOff>
      <xdr:row>1</xdr:row>
      <xdr:rowOff>152400</xdr:rowOff>
    </xdr:to>
    <xdr:pic>
      <xdr:nvPicPr>
        <xdr:cNvPr id="1" name="Picture 8"/>
        <xdr:cNvPicPr preferRelativeResize="1">
          <a:picLocks noChangeAspect="1"/>
        </xdr:cNvPicPr>
      </xdr:nvPicPr>
      <xdr:blipFill>
        <a:blip r:embed="rId1"/>
        <a:stretch>
          <a:fillRect/>
        </a:stretch>
      </xdr:blipFill>
      <xdr:spPr>
        <a:xfrm>
          <a:off x="5019675" y="19050"/>
          <a:ext cx="164782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209550</xdr:colOff>
      <xdr:row>0</xdr:row>
      <xdr:rowOff>0</xdr:rowOff>
    </xdr:from>
    <xdr:to>
      <xdr:col>18</xdr:col>
      <xdr:colOff>0</xdr:colOff>
      <xdr:row>1</xdr:row>
      <xdr:rowOff>9525</xdr:rowOff>
    </xdr:to>
    <xdr:pic>
      <xdr:nvPicPr>
        <xdr:cNvPr id="1" name="Picture 7"/>
        <xdr:cNvPicPr preferRelativeResize="1">
          <a:picLocks noChangeAspect="1"/>
        </xdr:cNvPicPr>
      </xdr:nvPicPr>
      <xdr:blipFill>
        <a:blip r:embed="rId1"/>
        <a:stretch>
          <a:fillRect/>
        </a:stretch>
      </xdr:blipFill>
      <xdr:spPr>
        <a:xfrm>
          <a:off x="4991100" y="0"/>
          <a:ext cx="158115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0</xdr:row>
      <xdr:rowOff>9525</xdr:rowOff>
    </xdr:from>
    <xdr:to>
      <xdr:col>16</xdr:col>
      <xdr:colOff>85725</xdr:colOff>
      <xdr:row>1</xdr:row>
      <xdr:rowOff>47625</xdr:rowOff>
    </xdr:to>
    <xdr:pic>
      <xdr:nvPicPr>
        <xdr:cNvPr id="1" name="Picture 9"/>
        <xdr:cNvPicPr preferRelativeResize="1">
          <a:picLocks noChangeAspect="1"/>
        </xdr:cNvPicPr>
      </xdr:nvPicPr>
      <xdr:blipFill>
        <a:blip r:embed="rId1"/>
        <a:stretch>
          <a:fillRect/>
        </a:stretch>
      </xdr:blipFill>
      <xdr:spPr>
        <a:xfrm>
          <a:off x="5114925" y="9525"/>
          <a:ext cx="135255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0</xdr:row>
      <xdr:rowOff>9525</xdr:rowOff>
    </xdr:from>
    <xdr:to>
      <xdr:col>18</xdr:col>
      <xdr:colOff>19050</xdr:colOff>
      <xdr:row>1</xdr:row>
      <xdr:rowOff>9525</xdr:rowOff>
    </xdr:to>
    <xdr:pic>
      <xdr:nvPicPr>
        <xdr:cNvPr id="1" name="Picture 1"/>
        <xdr:cNvPicPr preferRelativeResize="1">
          <a:picLocks noChangeAspect="1"/>
        </xdr:cNvPicPr>
      </xdr:nvPicPr>
      <xdr:blipFill>
        <a:blip r:embed="rId1"/>
        <a:stretch>
          <a:fillRect/>
        </a:stretch>
      </xdr:blipFill>
      <xdr:spPr>
        <a:xfrm>
          <a:off x="5114925" y="9525"/>
          <a:ext cx="140017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0</xdr:row>
      <xdr:rowOff>19050</xdr:rowOff>
    </xdr:from>
    <xdr:to>
      <xdr:col>20</xdr:col>
      <xdr:colOff>0</xdr:colOff>
      <xdr:row>1</xdr:row>
      <xdr:rowOff>171450</xdr:rowOff>
    </xdr:to>
    <xdr:pic>
      <xdr:nvPicPr>
        <xdr:cNvPr id="1" name="Picture 7"/>
        <xdr:cNvPicPr preferRelativeResize="1">
          <a:picLocks noChangeAspect="1"/>
        </xdr:cNvPicPr>
      </xdr:nvPicPr>
      <xdr:blipFill>
        <a:blip r:embed="rId1"/>
        <a:stretch>
          <a:fillRect/>
        </a:stretch>
      </xdr:blipFill>
      <xdr:spPr>
        <a:xfrm>
          <a:off x="4876800" y="19050"/>
          <a:ext cx="1838325"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695325</xdr:colOff>
      <xdr:row>0</xdr:row>
      <xdr:rowOff>28575</xdr:rowOff>
    </xdr:from>
    <xdr:to>
      <xdr:col>18</xdr:col>
      <xdr:colOff>9525</xdr:colOff>
      <xdr:row>1</xdr:row>
      <xdr:rowOff>190500</xdr:rowOff>
    </xdr:to>
    <xdr:pic>
      <xdr:nvPicPr>
        <xdr:cNvPr id="1" name="Picture 8"/>
        <xdr:cNvPicPr preferRelativeResize="1">
          <a:picLocks noChangeAspect="1"/>
        </xdr:cNvPicPr>
      </xdr:nvPicPr>
      <xdr:blipFill>
        <a:blip r:embed="rId1"/>
        <a:stretch>
          <a:fillRect/>
        </a:stretch>
      </xdr:blipFill>
      <xdr:spPr>
        <a:xfrm>
          <a:off x="4533900" y="28575"/>
          <a:ext cx="1962150"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elovna%20dokumentacija%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ž  vpisna lista"/>
      <sheetName val="m glavni turnir žrebna lista"/>
      <sheetName val="m glavni 32"/>
      <sheetName val="ž glavni turnir žrebna lista"/>
      <sheetName val="ž glavni 32"/>
      <sheetName val="razpored-ČET"/>
      <sheetName val="m kvalifikacije žrebna lista"/>
      <sheetName val="m kvalifikacije 32"/>
      <sheetName val="ž kvalifikacije žrebna lista"/>
      <sheetName val="ž kvalifikacije 32"/>
      <sheetName val="m dvojice vpisna lista"/>
      <sheetName val="m dvojice žrebna lista "/>
      <sheetName val="m dvojice 16"/>
      <sheetName val="ž dvojice vpisna lista"/>
      <sheetName val="ž dvojice žrebna lista"/>
      <sheetName val="ž dvojice 16"/>
      <sheetName val="vpis srečni poraženci (pos)"/>
      <sheetName val="zbirni zapisnik prekrškov"/>
      <sheetName val="neodigrani dvoboji"/>
      <sheetName val="poročilo vrhovni sodnik"/>
      <sheetName val="sodniški stroški"/>
      <sheetName val="razpored"/>
      <sheetName val="razpored (4)"/>
      <sheetName val="List1"/>
      <sheetName val="sodniški stroški 1"/>
      <sheetName val="sodniški stroški 2"/>
    </sheetNames>
    <definedNames>
      <definedName name="Jun_Hide_CU"/>
      <definedName name="Jun_Show_CU"/>
    </definedNames>
    <sheetDataSet>
      <sheetData sheetId="0">
        <row r="6">
          <cell r="A6" t="str">
            <v>OP 16 TK PORTOROŽ</v>
          </cell>
        </row>
        <row r="8">
          <cell r="A8">
            <v>16</v>
          </cell>
          <cell r="B8" t="str">
            <v>mž</v>
          </cell>
          <cell r="C8" t="str">
            <v>A turnir</v>
          </cell>
          <cell r="D8" t="str">
            <v>OP</v>
          </cell>
        </row>
        <row r="10">
          <cell r="A10" t="str">
            <v>20./22.7.2011</v>
          </cell>
          <cell r="B10" t="str">
            <v>Mladen Sredojevič</v>
          </cell>
          <cell r="C10" t="str">
            <v>TK Portorož</v>
          </cell>
          <cell r="D10">
            <v>2</v>
          </cell>
          <cell r="E10" t="str">
            <v>Anja Regent</v>
          </cell>
        </row>
      </sheetData>
      <sheetData sheetId="2">
        <row r="21">
          <cell r="P21" t="str">
            <v>Sodnik</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Brez sodnika</v>
          </cell>
        </row>
      </sheetData>
      <sheetData sheetId="5">
        <row r="7">
          <cell r="A7">
            <v>1</v>
          </cell>
          <cell r="B7">
            <v>5971</v>
          </cell>
          <cell r="C7" t="str">
            <v>GORŠIČ</v>
          </cell>
          <cell r="D7" t="str">
            <v>SEBASTIJAN</v>
          </cell>
          <cell r="E7" t="str">
            <v>SL-LJ</v>
          </cell>
          <cell r="F7">
            <v>95</v>
          </cell>
          <cell r="J7">
            <v>4</v>
          </cell>
          <cell r="L7" t="str">
            <v>GT </v>
          </cell>
          <cell r="N7">
            <v>70</v>
          </cell>
          <cell r="Q7" t="str">
            <v>D</v>
          </cell>
          <cell r="R7">
            <v>1</v>
          </cell>
        </row>
        <row r="8">
          <cell r="A8">
            <v>2</v>
          </cell>
          <cell r="B8">
            <v>6279</v>
          </cell>
          <cell r="C8" t="str">
            <v>VOLK</v>
          </cell>
          <cell r="D8" t="str">
            <v>LUKA</v>
          </cell>
          <cell r="E8" t="str">
            <v>TR-KR</v>
          </cell>
          <cell r="F8">
            <v>96</v>
          </cell>
          <cell r="J8">
            <v>8</v>
          </cell>
          <cell r="L8" t="str">
            <v>GT </v>
          </cell>
          <cell r="N8">
            <v>40</v>
          </cell>
          <cell r="Q8" t="str">
            <v>D</v>
          </cell>
          <cell r="R8">
            <v>2</v>
          </cell>
        </row>
        <row r="9">
          <cell r="A9">
            <v>3</v>
          </cell>
          <cell r="B9">
            <v>6449</v>
          </cell>
          <cell r="C9" t="str">
            <v>CAJZEK</v>
          </cell>
          <cell r="D9" t="str">
            <v>ALJAŽ</v>
          </cell>
          <cell r="E9" t="str">
            <v>ROGAŠ</v>
          </cell>
          <cell r="F9">
            <v>95</v>
          </cell>
          <cell r="J9">
            <v>9</v>
          </cell>
          <cell r="L9" t="str">
            <v>GT </v>
          </cell>
          <cell r="N9">
            <v>40</v>
          </cell>
          <cell r="Q9" t="str">
            <v>D</v>
          </cell>
          <cell r="R9">
            <v>3</v>
          </cell>
        </row>
        <row r="10">
          <cell r="A10">
            <v>4</v>
          </cell>
          <cell r="B10">
            <v>6231</v>
          </cell>
          <cell r="C10" t="str">
            <v>OGOREVC</v>
          </cell>
          <cell r="D10" t="str">
            <v>NACE</v>
          </cell>
          <cell r="E10" t="str">
            <v>BENČ</v>
          </cell>
          <cell r="F10">
            <v>96</v>
          </cell>
          <cell r="J10">
            <v>10</v>
          </cell>
          <cell r="L10" t="str">
            <v>GT </v>
          </cell>
          <cell r="N10">
            <v>30</v>
          </cell>
          <cell r="Q10" t="str">
            <v>D</v>
          </cell>
          <cell r="R10">
            <v>4</v>
          </cell>
        </row>
        <row r="11">
          <cell r="A11">
            <v>5</v>
          </cell>
          <cell r="B11">
            <v>6061</v>
          </cell>
          <cell r="C11" t="str">
            <v>GERMIČ</v>
          </cell>
          <cell r="D11" t="str">
            <v>ALEŠ</v>
          </cell>
          <cell r="E11" t="str">
            <v>ŽTKMB</v>
          </cell>
          <cell r="F11">
            <v>96</v>
          </cell>
          <cell r="J11">
            <v>11</v>
          </cell>
          <cell r="L11" t="str">
            <v>GT </v>
          </cell>
          <cell r="N11">
            <v>30</v>
          </cell>
          <cell r="Q11" t="str">
            <v>D</v>
          </cell>
          <cell r="R11">
            <v>5</v>
          </cell>
        </row>
        <row r="12">
          <cell r="A12">
            <v>6</v>
          </cell>
          <cell r="B12">
            <v>6592</v>
          </cell>
          <cell r="C12" t="str">
            <v>VOVK</v>
          </cell>
          <cell r="D12" t="str">
            <v>GREGOR</v>
          </cell>
          <cell r="E12" t="str">
            <v>STRAŽ</v>
          </cell>
          <cell r="F12">
            <v>96</v>
          </cell>
          <cell r="J12">
            <v>12</v>
          </cell>
          <cell r="L12" t="str">
            <v>GT </v>
          </cell>
          <cell r="N12">
            <v>30</v>
          </cell>
          <cell r="Q12" t="str">
            <v>D</v>
          </cell>
          <cell r="R12">
            <v>6</v>
          </cell>
        </row>
        <row r="13">
          <cell r="A13">
            <v>7</v>
          </cell>
          <cell r="B13">
            <v>6166</v>
          </cell>
          <cell r="C13" t="str">
            <v>GAŠPERŠIČ</v>
          </cell>
          <cell r="D13" t="str">
            <v>ŽIGA</v>
          </cell>
          <cell r="E13" t="str">
            <v>RADOV</v>
          </cell>
          <cell r="F13">
            <v>96</v>
          </cell>
          <cell r="J13">
            <v>17</v>
          </cell>
          <cell r="L13" t="str">
            <v>GT </v>
          </cell>
          <cell r="N13">
            <v>30</v>
          </cell>
          <cell r="Q13" t="str">
            <v>D</v>
          </cell>
          <cell r="R13">
            <v>7</v>
          </cell>
        </row>
        <row r="14">
          <cell r="A14">
            <v>8</v>
          </cell>
          <cell r="B14">
            <v>6591</v>
          </cell>
          <cell r="C14" t="str">
            <v>VOVK</v>
          </cell>
          <cell r="D14" t="str">
            <v>PRIMOŽ</v>
          </cell>
          <cell r="E14" t="str">
            <v>STRAŽ</v>
          </cell>
          <cell r="F14">
            <v>96</v>
          </cell>
          <cell r="J14">
            <v>20</v>
          </cell>
          <cell r="L14" t="str">
            <v>GT </v>
          </cell>
          <cell r="N14">
            <v>20</v>
          </cell>
          <cell r="Q14" t="str">
            <v>D</v>
          </cell>
          <cell r="R14">
            <v>8</v>
          </cell>
        </row>
        <row r="15">
          <cell r="A15">
            <v>9</v>
          </cell>
          <cell r="B15">
            <v>5908</v>
          </cell>
          <cell r="C15" t="str">
            <v>FUGINA</v>
          </cell>
          <cell r="D15" t="str">
            <v>VID</v>
          </cell>
          <cell r="E15" t="str">
            <v>TC-LJ</v>
          </cell>
          <cell r="F15">
            <v>95</v>
          </cell>
          <cell r="J15">
            <v>22</v>
          </cell>
          <cell r="L15" t="str">
            <v>GT </v>
          </cell>
          <cell r="N15">
            <v>20</v>
          </cell>
          <cell r="Q15" t="str">
            <v>D</v>
          </cell>
        </row>
        <row r="16">
          <cell r="A16">
            <v>10</v>
          </cell>
          <cell r="B16">
            <v>6165</v>
          </cell>
          <cell r="C16" t="str">
            <v>GAŠPERŠIČ</v>
          </cell>
          <cell r="D16" t="str">
            <v>GREGOR</v>
          </cell>
          <cell r="E16" t="str">
            <v>RADOV</v>
          </cell>
          <cell r="F16">
            <v>96</v>
          </cell>
          <cell r="J16">
            <v>23</v>
          </cell>
          <cell r="L16" t="str">
            <v>GT </v>
          </cell>
          <cell r="N16">
            <v>20</v>
          </cell>
          <cell r="Q16" t="str">
            <v>D</v>
          </cell>
        </row>
        <row r="17">
          <cell r="A17">
            <v>11</v>
          </cell>
          <cell r="B17">
            <v>5930</v>
          </cell>
          <cell r="C17" t="str">
            <v>JANEŽIČ</v>
          </cell>
          <cell r="D17" t="str">
            <v>DORIAN TOMAŽ</v>
          </cell>
          <cell r="E17" t="str">
            <v>BENČ</v>
          </cell>
          <cell r="F17">
            <v>95</v>
          </cell>
          <cell r="J17">
            <v>24</v>
          </cell>
          <cell r="L17" t="str">
            <v>GT </v>
          </cell>
          <cell r="N17">
            <v>20</v>
          </cell>
          <cell r="Q17" t="str">
            <v>D</v>
          </cell>
        </row>
        <row r="18">
          <cell r="A18">
            <v>12</v>
          </cell>
          <cell r="B18">
            <v>6228</v>
          </cell>
          <cell r="C18" t="str">
            <v>LOVIŠČEK</v>
          </cell>
          <cell r="D18" t="str">
            <v>ANŽE</v>
          </cell>
          <cell r="E18" t="str">
            <v>TABRE</v>
          </cell>
          <cell r="F18">
            <v>96</v>
          </cell>
          <cell r="J18">
            <v>25</v>
          </cell>
          <cell r="L18" t="str">
            <v>GT </v>
          </cell>
          <cell r="N18">
            <v>20</v>
          </cell>
          <cell r="Q18" t="str">
            <v>D</v>
          </cell>
        </row>
        <row r="19">
          <cell r="A19">
            <v>13</v>
          </cell>
          <cell r="B19">
            <v>6368</v>
          </cell>
          <cell r="C19" t="str">
            <v>KEGL</v>
          </cell>
          <cell r="D19" t="str">
            <v>MARINO</v>
          </cell>
          <cell r="E19" t="str">
            <v>TENMS</v>
          </cell>
          <cell r="F19">
            <v>95</v>
          </cell>
          <cell r="J19">
            <v>27</v>
          </cell>
          <cell r="L19" t="str">
            <v>GT </v>
          </cell>
          <cell r="N19">
            <v>20</v>
          </cell>
          <cell r="Q19" t="str">
            <v>D</v>
          </cell>
        </row>
        <row r="20">
          <cell r="A20">
            <v>14</v>
          </cell>
          <cell r="B20">
            <v>6576</v>
          </cell>
          <cell r="C20" t="str">
            <v>DERNIČ</v>
          </cell>
          <cell r="D20" t="str">
            <v>JAN</v>
          </cell>
          <cell r="E20" t="str">
            <v>PORTO</v>
          </cell>
          <cell r="F20">
            <v>95</v>
          </cell>
          <cell r="J20">
            <v>30</v>
          </cell>
          <cell r="L20" t="str">
            <v>GT </v>
          </cell>
          <cell r="N20">
            <v>20</v>
          </cell>
          <cell r="Q20" t="str">
            <v>D</v>
          </cell>
        </row>
        <row r="21">
          <cell r="A21">
            <v>15</v>
          </cell>
          <cell r="B21">
            <v>6242</v>
          </cell>
          <cell r="C21" t="str">
            <v>CVETKOVIČ</v>
          </cell>
          <cell r="D21" t="str">
            <v>TOM</v>
          </cell>
          <cell r="E21" t="str">
            <v>RADOV</v>
          </cell>
          <cell r="F21">
            <v>96</v>
          </cell>
          <cell r="J21">
            <v>32</v>
          </cell>
          <cell r="L21" t="str">
            <v>GT </v>
          </cell>
          <cell r="N21">
            <v>20</v>
          </cell>
          <cell r="Q21" t="str">
            <v>D</v>
          </cell>
        </row>
        <row r="22">
          <cell r="A22">
            <v>16</v>
          </cell>
          <cell r="B22">
            <v>6301</v>
          </cell>
          <cell r="C22" t="str">
            <v>POVHE</v>
          </cell>
          <cell r="D22" t="str">
            <v>MIHA</v>
          </cell>
          <cell r="E22" t="str">
            <v>KRŠKO</v>
          </cell>
          <cell r="F22">
            <v>96</v>
          </cell>
          <cell r="J22">
            <v>33</v>
          </cell>
          <cell r="L22" t="str">
            <v>GT </v>
          </cell>
          <cell r="N22">
            <v>20</v>
          </cell>
          <cell r="Q22" t="str">
            <v>D</v>
          </cell>
        </row>
        <row r="23">
          <cell r="A23">
            <v>17</v>
          </cell>
          <cell r="B23">
            <v>6578</v>
          </cell>
          <cell r="C23" t="str">
            <v>BIČIČ</v>
          </cell>
          <cell r="D23" t="str">
            <v>ALEX</v>
          </cell>
          <cell r="E23" t="str">
            <v>PORTO</v>
          </cell>
          <cell r="F23">
            <v>95</v>
          </cell>
          <cell r="J23">
            <v>37</v>
          </cell>
          <cell r="L23" t="str">
            <v>V</v>
          </cell>
          <cell r="N23">
            <v>20</v>
          </cell>
          <cell r="Q23" t="str">
            <v>V</v>
          </cell>
        </row>
        <row r="24">
          <cell r="A24">
            <v>18</v>
          </cell>
          <cell r="B24">
            <v>6680</v>
          </cell>
          <cell r="C24" t="str">
            <v>DACAR</v>
          </cell>
          <cell r="D24" t="str">
            <v>URBAN</v>
          </cell>
          <cell r="E24" t="str">
            <v>TOPTE</v>
          </cell>
          <cell r="F24">
            <v>96</v>
          </cell>
          <cell r="J24">
            <v>42</v>
          </cell>
          <cell r="L24" t="str">
            <v>GT </v>
          </cell>
          <cell r="N24">
            <v>20</v>
          </cell>
          <cell r="Q24" t="str">
            <v>D</v>
          </cell>
        </row>
        <row r="25">
          <cell r="A25">
            <v>19</v>
          </cell>
          <cell r="B25">
            <v>5928</v>
          </cell>
          <cell r="C25" t="str">
            <v>BREC</v>
          </cell>
          <cell r="D25" t="str">
            <v>JAKOB</v>
          </cell>
          <cell r="E25" t="str">
            <v>TENAN</v>
          </cell>
          <cell r="F25">
            <v>95</v>
          </cell>
          <cell r="J25">
            <v>46</v>
          </cell>
          <cell r="L25" t="str">
            <v>GT </v>
          </cell>
          <cell r="N25">
            <v>20</v>
          </cell>
          <cell r="Q25" t="str">
            <v>D</v>
          </cell>
        </row>
        <row r="26">
          <cell r="A26">
            <v>20</v>
          </cell>
          <cell r="B26">
            <v>6030</v>
          </cell>
          <cell r="C26" t="str">
            <v>HOBACHER</v>
          </cell>
          <cell r="D26" t="str">
            <v>DOMINIK</v>
          </cell>
          <cell r="E26" t="str">
            <v>TKCEN</v>
          </cell>
          <cell r="F26">
            <v>95</v>
          </cell>
          <cell r="J26">
            <v>64</v>
          </cell>
          <cell r="L26" t="str">
            <v>GT </v>
          </cell>
          <cell r="N26">
            <v>10</v>
          </cell>
          <cell r="Q26" t="str">
            <v>L</v>
          </cell>
        </row>
        <row r="27">
          <cell r="A27">
            <v>21</v>
          </cell>
          <cell r="B27">
            <v>6572</v>
          </cell>
          <cell r="C27" t="str">
            <v>ZUPANČIČ</v>
          </cell>
          <cell r="D27" t="str">
            <v>FILIP JAKOB</v>
          </cell>
          <cell r="E27" t="str">
            <v>ZKLUB</v>
          </cell>
          <cell r="F27">
            <v>97</v>
          </cell>
          <cell r="J27">
            <v>50</v>
          </cell>
          <cell r="L27" t="str">
            <v>GT </v>
          </cell>
          <cell r="N27">
            <v>10</v>
          </cell>
          <cell r="Q27" t="str">
            <v>D</v>
          </cell>
        </row>
        <row r="28">
          <cell r="A28">
            <v>22</v>
          </cell>
          <cell r="B28">
            <v>6575</v>
          </cell>
          <cell r="C28" t="str">
            <v>DERNIČ</v>
          </cell>
          <cell r="D28" t="str">
            <v>ŽIGA</v>
          </cell>
          <cell r="E28" t="str">
            <v>PORTO</v>
          </cell>
          <cell r="F28">
            <v>95</v>
          </cell>
          <cell r="J28">
            <v>54</v>
          </cell>
          <cell r="L28" t="str">
            <v>GT </v>
          </cell>
          <cell r="N28">
            <v>10</v>
          </cell>
          <cell r="Q28" t="str">
            <v>D</v>
          </cell>
        </row>
        <row r="29">
          <cell r="A29">
            <v>23</v>
          </cell>
          <cell r="B29">
            <v>6392</v>
          </cell>
          <cell r="C29" t="str">
            <v>JANŠA</v>
          </cell>
          <cell r="D29" t="str">
            <v>VID</v>
          </cell>
          <cell r="E29" t="str">
            <v>ŽTKMB</v>
          </cell>
          <cell r="F29">
            <v>95</v>
          </cell>
          <cell r="J29">
            <v>55</v>
          </cell>
          <cell r="L29" t="str">
            <v>GT </v>
          </cell>
          <cell r="N29">
            <v>10</v>
          </cell>
          <cell r="Q29" t="str">
            <v>D</v>
          </cell>
        </row>
        <row r="30">
          <cell r="A30">
            <v>24</v>
          </cell>
          <cell r="B30">
            <v>6470</v>
          </cell>
          <cell r="C30" t="str">
            <v>FRANK</v>
          </cell>
          <cell r="D30" t="str">
            <v>JURE</v>
          </cell>
          <cell r="E30" t="str">
            <v>ŽTKMB</v>
          </cell>
          <cell r="F30">
            <v>97</v>
          </cell>
          <cell r="J30">
            <v>56</v>
          </cell>
          <cell r="N30">
            <v>10</v>
          </cell>
          <cell r="Q30" t="str">
            <v>K</v>
          </cell>
        </row>
        <row r="31">
          <cell r="A31">
            <v>25</v>
          </cell>
          <cell r="B31">
            <v>6509</v>
          </cell>
          <cell r="C31" t="str">
            <v>ŽMAVC</v>
          </cell>
          <cell r="D31" t="str">
            <v>ŽAN</v>
          </cell>
          <cell r="E31" t="str">
            <v>TR-KR</v>
          </cell>
          <cell r="F31">
            <v>98</v>
          </cell>
          <cell r="J31">
            <v>57</v>
          </cell>
          <cell r="N31">
            <v>10</v>
          </cell>
          <cell r="Q31" t="str">
            <v>K</v>
          </cell>
        </row>
        <row r="32">
          <cell r="A32">
            <v>26</v>
          </cell>
          <cell r="B32">
            <v>6904</v>
          </cell>
          <cell r="C32" t="str">
            <v>NIKOLAŠ</v>
          </cell>
          <cell r="D32" t="str">
            <v>KLEMEN</v>
          </cell>
          <cell r="E32" t="str">
            <v>TR-KR</v>
          </cell>
          <cell r="F32">
            <v>98</v>
          </cell>
          <cell r="J32">
            <v>58</v>
          </cell>
          <cell r="N32">
            <v>10</v>
          </cell>
          <cell r="Q32" t="str">
            <v>L</v>
          </cell>
        </row>
        <row r="33">
          <cell r="A33">
            <v>27</v>
          </cell>
          <cell r="B33">
            <v>6564</v>
          </cell>
          <cell r="C33" t="str">
            <v>DROBNIČ</v>
          </cell>
          <cell r="D33" t="str">
            <v>ŽIGA</v>
          </cell>
          <cell r="E33" t="str">
            <v>ZKLUB</v>
          </cell>
          <cell r="F33">
            <v>97</v>
          </cell>
          <cell r="J33">
            <v>59</v>
          </cell>
          <cell r="N33">
            <v>10</v>
          </cell>
          <cell r="Q33" t="str">
            <v>K</v>
          </cell>
        </row>
        <row r="34">
          <cell r="A34">
            <v>28</v>
          </cell>
          <cell r="B34">
            <v>6789</v>
          </cell>
          <cell r="C34" t="str">
            <v>KAPLJA</v>
          </cell>
          <cell r="D34" t="str">
            <v>ALJAŽ JAKOB</v>
          </cell>
          <cell r="E34" t="str">
            <v>RADOM</v>
          </cell>
          <cell r="F34">
            <v>97</v>
          </cell>
          <cell r="J34">
            <v>63</v>
          </cell>
          <cell r="N34">
            <v>10</v>
          </cell>
          <cell r="Q34" t="str">
            <v>K</v>
          </cell>
        </row>
        <row r="35">
          <cell r="A35">
            <v>29</v>
          </cell>
          <cell r="B35">
            <v>6467</v>
          </cell>
          <cell r="C35" t="str">
            <v>BREZOVEC</v>
          </cell>
          <cell r="D35" t="str">
            <v>PETER</v>
          </cell>
          <cell r="E35" t="str">
            <v>PORTO</v>
          </cell>
          <cell r="F35">
            <v>95</v>
          </cell>
          <cell r="J35">
            <v>69</v>
          </cell>
          <cell r="L35" t="str">
            <v>V</v>
          </cell>
          <cell r="N35">
            <v>10</v>
          </cell>
          <cell r="Q35" t="str">
            <v>V</v>
          </cell>
        </row>
        <row r="36">
          <cell r="A36">
            <v>30</v>
          </cell>
          <cell r="B36">
            <v>6219</v>
          </cell>
          <cell r="C36" t="str">
            <v>ŠTER</v>
          </cell>
          <cell r="D36" t="str">
            <v>NEJC</v>
          </cell>
          <cell r="E36" t="str">
            <v>ASLIT</v>
          </cell>
          <cell r="F36">
            <v>97</v>
          </cell>
          <cell r="G36" t="str">
            <v>POZNA PRIJAVA</v>
          </cell>
          <cell r="J36">
            <v>70</v>
          </cell>
          <cell r="N36">
            <v>10</v>
          </cell>
          <cell r="Q36" t="str">
            <v>K</v>
          </cell>
        </row>
        <row r="37">
          <cell r="A37">
            <v>31</v>
          </cell>
          <cell r="B37">
            <v>5852</v>
          </cell>
          <cell r="C37" t="str">
            <v>ČUK</v>
          </cell>
          <cell r="D37" t="str">
            <v>MARK</v>
          </cell>
          <cell r="E37" t="str">
            <v>ASLIT</v>
          </cell>
          <cell r="F37">
            <v>95</v>
          </cell>
          <cell r="J37">
            <v>95</v>
          </cell>
          <cell r="N37">
            <v>10</v>
          </cell>
          <cell r="Q37" t="str">
            <v>K</v>
          </cell>
        </row>
        <row r="38">
          <cell r="A38">
            <v>32</v>
          </cell>
          <cell r="B38">
            <v>6917</v>
          </cell>
          <cell r="C38" t="str">
            <v>LAVRENČIČ</v>
          </cell>
          <cell r="D38" t="str">
            <v>NEJC</v>
          </cell>
          <cell r="E38" t="str">
            <v>N.GOR</v>
          </cell>
          <cell r="F38">
            <v>98</v>
          </cell>
          <cell r="J38" t="str">
            <v>NR</v>
          </cell>
          <cell r="N38">
            <v>10</v>
          </cell>
          <cell r="Q38" t="str">
            <v>K</v>
          </cell>
        </row>
      </sheetData>
      <sheetData sheetId="6">
        <row r="63">
          <cell r="Q63">
            <v>2</v>
          </cell>
        </row>
      </sheetData>
      <sheetData sheetId="7">
        <row r="7">
          <cell r="A7">
            <v>1</v>
          </cell>
          <cell r="B7">
            <v>6453</v>
          </cell>
          <cell r="C7" t="str">
            <v>OPARENOVIČ</v>
          </cell>
          <cell r="D7" t="str">
            <v>ANA</v>
          </cell>
          <cell r="E7" t="str">
            <v>CELJE</v>
          </cell>
          <cell r="F7">
            <v>96</v>
          </cell>
          <cell r="J7">
            <v>5</v>
          </cell>
          <cell r="L7" t="str">
            <v>GT</v>
          </cell>
          <cell r="N7">
            <v>40</v>
          </cell>
          <cell r="Q7" t="str">
            <v>D</v>
          </cell>
          <cell r="R7">
            <v>1</v>
          </cell>
        </row>
        <row r="8">
          <cell r="A8">
            <v>2</v>
          </cell>
          <cell r="B8">
            <v>6593</v>
          </cell>
          <cell r="C8" t="str">
            <v>VOVK</v>
          </cell>
          <cell r="D8" t="str">
            <v>LARA</v>
          </cell>
          <cell r="E8" t="str">
            <v>STRAŽ</v>
          </cell>
          <cell r="F8">
            <v>96</v>
          </cell>
          <cell r="J8">
            <v>6</v>
          </cell>
          <cell r="L8" t="str">
            <v>GT</v>
          </cell>
          <cell r="N8">
            <v>40</v>
          </cell>
          <cell r="Q8" t="str">
            <v>D</v>
          </cell>
          <cell r="R8">
            <v>2</v>
          </cell>
        </row>
        <row r="9">
          <cell r="A9">
            <v>3</v>
          </cell>
          <cell r="B9">
            <v>6322</v>
          </cell>
          <cell r="C9" t="str">
            <v>JERŠE</v>
          </cell>
          <cell r="D9" t="str">
            <v>TJAŠA</v>
          </cell>
          <cell r="E9" t="str">
            <v>TC-LJ</v>
          </cell>
          <cell r="F9">
            <v>96</v>
          </cell>
          <cell r="J9">
            <v>11</v>
          </cell>
          <cell r="L9" t="str">
            <v>GT</v>
          </cell>
          <cell r="N9">
            <v>30</v>
          </cell>
          <cell r="Q9" t="str">
            <v>D</v>
          </cell>
          <cell r="R9">
            <v>3</v>
          </cell>
        </row>
        <row r="10">
          <cell r="A10">
            <v>4</v>
          </cell>
          <cell r="B10">
            <v>6236</v>
          </cell>
          <cell r="C10" t="str">
            <v>EMERŠIČ LJUBIČ</v>
          </cell>
          <cell r="D10" t="str">
            <v>KAJA</v>
          </cell>
          <cell r="E10" t="str">
            <v>DOMŽA</v>
          </cell>
          <cell r="F10">
            <v>96</v>
          </cell>
          <cell r="J10">
            <v>12</v>
          </cell>
          <cell r="L10" t="str">
            <v>GT</v>
          </cell>
          <cell r="N10">
            <v>30</v>
          </cell>
          <cell r="Q10" t="str">
            <v>D</v>
          </cell>
          <cell r="R10">
            <v>4</v>
          </cell>
        </row>
        <row r="11">
          <cell r="A11">
            <v>5</v>
          </cell>
          <cell r="B11">
            <v>6238</v>
          </cell>
          <cell r="C11" t="str">
            <v>GLAVIČ</v>
          </cell>
          <cell r="D11" t="str">
            <v>LARA</v>
          </cell>
          <cell r="E11" t="str">
            <v>TOPTE</v>
          </cell>
          <cell r="F11">
            <v>96</v>
          </cell>
          <cell r="J11">
            <v>15</v>
          </cell>
          <cell r="L11" t="str">
            <v>GT</v>
          </cell>
          <cell r="N11">
            <v>30</v>
          </cell>
          <cell r="Q11" t="str">
            <v>D</v>
          </cell>
          <cell r="R11">
            <v>5</v>
          </cell>
        </row>
        <row r="12">
          <cell r="A12">
            <v>6</v>
          </cell>
          <cell r="B12">
            <v>6528</v>
          </cell>
          <cell r="C12" t="str">
            <v>BUKOVEC</v>
          </cell>
          <cell r="D12" t="str">
            <v>KLAVDIJA</v>
          </cell>
          <cell r="E12" t="str">
            <v>TR-KR</v>
          </cell>
          <cell r="F12">
            <v>96</v>
          </cell>
          <cell r="J12">
            <v>16</v>
          </cell>
          <cell r="L12" t="str">
            <v>GT</v>
          </cell>
          <cell r="N12">
            <v>30</v>
          </cell>
          <cell r="Q12" t="str">
            <v>D</v>
          </cell>
          <cell r="R12">
            <v>6</v>
          </cell>
        </row>
        <row r="13">
          <cell r="A13">
            <v>7</v>
          </cell>
          <cell r="B13">
            <v>6144</v>
          </cell>
          <cell r="C13" t="str">
            <v>REJC</v>
          </cell>
          <cell r="D13" t="str">
            <v>SIMONA</v>
          </cell>
          <cell r="E13" t="str">
            <v>IDRIJ</v>
          </cell>
          <cell r="F13">
            <v>96</v>
          </cell>
          <cell r="J13">
            <v>18</v>
          </cell>
          <cell r="L13" t="str">
            <v>V</v>
          </cell>
          <cell r="N13">
            <v>30</v>
          </cell>
          <cell r="Q13" t="str">
            <v>V</v>
          </cell>
          <cell r="R13">
            <v>7</v>
          </cell>
        </row>
        <row r="14">
          <cell r="A14">
            <v>8</v>
          </cell>
          <cell r="B14">
            <v>6278</v>
          </cell>
          <cell r="C14" t="str">
            <v>HRKAČ</v>
          </cell>
          <cell r="D14" t="str">
            <v>KRISTINA</v>
          </cell>
          <cell r="E14" t="str">
            <v>TR-KR</v>
          </cell>
          <cell r="F14">
            <v>96</v>
          </cell>
          <cell r="J14">
            <v>22</v>
          </cell>
          <cell r="L14" t="str">
            <v>GT</v>
          </cell>
          <cell r="N14">
            <v>20</v>
          </cell>
          <cell r="Q14" t="str">
            <v>D</v>
          </cell>
          <cell r="R14">
            <v>8</v>
          </cell>
        </row>
        <row r="15">
          <cell r="A15">
            <v>9</v>
          </cell>
          <cell r="B15">
            <v>6282</v>
          </cell>
          <cell r="C15" t="str">
            <v>KOŠNIK</v>
          </cell>
          <cell r="D15" t="str">
            <v>KARIN</v>
          </cell>
          <cell r="E15" t="str">
            <v>TR-KR</v>
          </cell>
          <cell r="F15">
            <v>95</v>
          </cell>
          <cell r="J15">
            <v>23</v>
          </cell>
          <cell r="L15" t="str">
            <v>GT</v>
          </cell>
          <cell r="N15">
            <v>20</v>
          </cell>
          <cell r="Q15" t="str">
            <v>D</v>
          </cell>
        </row>
        <row r="16">
          <cell r="A16">
            <v>10</v>
          </cell>
          <cell r="B16">
            <v>6498</v>
          </cell>
          <cell r="C16" t="str">
            <v>SIRŠE</v>
          </cell>
          <cell r="D16" t="str">
            <v>SARA</v>
          </cell>
          <cell r="E16" t="str">
            <v>LTC</v>
          </cell>
          <cell r="F16">
            <v>97</v>
          </cell>
          <cell r="J16">
            <v>24</v>
          </cell>
          <cell r="L16" t="str">
            <v>GT</v>
          </cell>
          <cell r="N16">
            <v>20</v>
          </cell>
          <cell r="Q16" t="str">
            <v>D</v>
          </cell>
        </row>
        <row r="17">
          <cell r="A17">
            <v>11</v>
          </cell>
          <cell r="B17">
            <v>6520</v>
          </cell>
          <cell r="C17" t="str">
            <v>KLANEČEK</v>
          </cell>
          <cell r="D17" t="str">
            <v>SAŠA</v>
          </cell>
          <cell r="E17" t="str">
            <v>ŽTKMB</v>
          </cell>
          <cell r="F17">
            <v>98</v>
          </cell>
          <cell r="G17" t="str">
            <v>pozna prijava</v>
          </cell>
          <cell r="J17">
            <v>25</v>
          </cell>
          <cell r="L17" t="str">
            <v>K</v>
          </cell>
          <cell r="N17">
            <v>20</v>
          </cell>
          <cell r="Q17" t="str">
            <v>K</v>
          </cell>
        </row>
        <row r="18">
          <cell r="A18">
            <v>12</v>
          </cell>
          <cell r="B18">
            <v>6240</v>
          </cell>
          <cell r="C18" t="str">
            <v>JANČIČ</v>
          </cell>
          <cell r="D18" t="str">
            <v>MAŠA</v>
          </cell>
          <cell r="E18" t="str">
            <v>TOPTE</v>
          </cell>
          <cell r="F18">
            <v>96</v>
          </cell>
          <cell r="J18">
            <v>26</v>
          </cell>
          <cell r="L18" t="str">
            <v>GT</v>
          </cell>
          <cell r="N18">
            <v>20</v>
          </cell>
          <cell r="Q18" t="str">
            <v>D</v>
          </cell>
        </row>
        <row r="19">
          <cell r="A19">
            <v>13</v>
          </cell>
          <cell r="B19">
            <v>6475</v>
          </cell>
          <cell r="C19" t="str">
            <v>HAUPTMAN</v>
          </cell>
          <cell r="D19" t="str">
            <v>VITA LUCIJA</v>
          </cell>
          <cell r="E19" t="str">
            <v>ŽTKMB</v>
          </cell>
          <cell r="F19">
            <v>97</v>
          </cell>
          <cell r="J19">
            <v>31</v>
          </cell>
          <cell r="L19" t="str">
            <v>GT</v>
          </cell>
          <cell r="N19">
            <v>20</v>
          </cell>
          <cell r="Q19" t="str">
            <v>D</v>
          </cell>
        </row>
        <row r="20">
          <cell r="A20">
            <v>14</v>
          </cell>
          <cell r="B20">
            <v>6819</v>
          </cell>
          <cell r="C20" t="str">
            <v>LAPAJNE</v>
          </cell>
          <cell r="D20" t="str">
            <v>ŽANA</v>
          </cell>
          <cell r="E20" t="str">
            <v>IDRIJ</v>
          </cell>
          <cell r="F20">
            <v>98</v>
          </cell>
          <cell r="J20">
            <v>32</v>
          </cell>
          <cell r="L20" t="str">
            <v>GT</v>
          </cell>
          <cell r="N20">
            <v>20</v>
          </cell>
          <cell r="Q20" t="str">
            <v>D</v>
          </cell>
        </row>
        <row r="21">
          <cell r="A21">
            <v>15</v>
          </cell>
          <cell r="B21">
            <v>6535</v>
          </cell>
          <cell r="C21" t="str">
            <v>MORI</v>
          </cell>
          <cell r="D21" t="str">
            <v>MAŠA</v>
          </cell>
          <cell r="E21" t="str">
            <v>PORTO</v>
          </cell>
          <cell r="F21">
            <v>95</v>
          </cell>
          <cell r="J21">
            <v>34</v>
          </cell>
          <cell r="L21" t="str">
            <v>V</v>
          </cell>
          <cell r="N21">
            <v>20</v>
          </cell>
          <cell r="Q21" t="str">
            <v>V</v>
          </cell>
        </row>
        <row r="22">
          <cell r="A22">
            <v>16</v>
          </cell>
          <cell r="B22">
            <v>6951</v>
          </cell>
          <cell r="C22" t="str">
            <v>KRIVEC</v>
          </cell>
          <cell r="D22" t="str">
            <v>NINA</v>
          </cell>
          <cell r="E22" t="str">
            <v>ŽTKMB</v>
          </cell>
          <cell r="F22">
            <v>97</v>
          </cell>
          <cell r="J22">
            <v>35</v>
          </cell>
          <cell r="L22" t="str">
            <v>GT</v>
          </cell>
          <cell r="N22">
            <v>20</v>
          </cell>
          <cell r="Q22" t="str">
            <v>D</v>
          </cell>
        </row>
        <row r="23">
          <cell r="A23">
            <v>17</v>
          </cell>
          <cell r="B23">
            <v>6250</v>
          </cell>
          <cell r="C23" t="str">
            <v>MEJAK</v>
          </cell>
          <cell r="D23" t="str">
            <v>MOJCA</v>
          </cell>
          <cell r="E23" t="str">
            <v>KOPER</v>
          </cell>
          <cell r="F23">
            <v>97</v>
          </cell>
          <cell r="J23">
            <v>38</v>
          </cell>
          <cell r="L23" t="str">
            <v>GT</v>
          </cell>
          <cell r="N23">
            <v>20</v>
          </cell>
          <cell r="Q23" t="str">
            <v>D</v>
          </cell>
        </row>
        <row r="24">
          <cell r="A24">
            <v>18</v>
          </cell>
          <cell r="B24">
            <v>7002</v>
          </cell>
          <cell r="C24" t="str">
            <v>GODEC</v>
          </cell>
          <cell r="D24" t="str">
            <v>KRISTINA TINA</v>
          </cell>
          <cell r="E24" t="str">
            <v>ASLIT</v>
          </cell>
          <cell r="F24">
            <v>98</v>
          </cell>
          <cell r="J24">
            <v>43</v>
          </cell>
          <cell r="L24" t="str">
            <v>GT</v>
          </cell>
          <cell r="N24">
            <v>20</v>
          </cell>
          <cell r="Q24" t="str">
            <v>D</v>
          </cell>
        </row>
        <row r="25">
          <cell r="A25">
            <v>19</v>
          </cell>
          <cell r="B25">
            <v>7437</v>
          </cell>
          <cell r="C25" t="str">
            <v>KASTELIC</v>
          </cell>
          <cell r="D25" t="str">
            <v>ŽOEL</v>
          </cell>
          <cell r="E25" t="str">
            <v>OL-LJ</v>
          </cell>
          <cell r="F25">
            <v>95</v>
          </cell>
          <cell r="J25">
            <v>45</v>
          </cell>
          <cell r="L25" t="str">
            <v>GT</v>
          </cell>
          <cell r="N25">
            <v>20</v>
          </cell>
          <cell r="Q25" t="str">
            <v>D</v>
          </cell>
        </row>
        <row r="26">
          <cell r="A26">
            <v>20</v>
          </cell>
          <cell r="B26">
            <v>6626</v>
          </cell>
          <cell r="C26" t="str">
            <v>TRATNIK</v>
          </cell>
          <cell r="D26" t="str">
            <v>BLAŽKA</v>
          </cell>
          <cell r="E26" t="str">
            <v>IDRIJ</v>
          </cell>
          <cell r="F26">
            <v>98</v>
          </cell>
          <cell r="J26">
            <v>46</v>
          </cell>
          <cell r="L26" t="str">
            <v>GT</v>
          </cell>
          <cell r="N26">
            <v>20</v>
          </cell>
          <cell r="Q26" t="str">
            <v>D</v>
          </cell>
        </row>
        <row r="27">
          <cell r="A27">
            <v>21</v>
          </cell>
          <cell r="B27">
            <v>6527</v>
          </cell>
          <cell r="C27" t="str">
            <v>TOMIČ EGART</v>
          </cell>
          <cell r="D27" t="str">
            <v>ŽANA</v>
          </cell>
          <cell r="E27" t="str">
            <v>TR-KR</v>
          </cell>
          <cell r="F27">
            <v>96</v>
          </cell>
          <cell r="J27">
            <v>47</v>
          </cell>
          <cell r="L27" t="str">
            <v>GT</v>
          </cell>
          <cell r="N27">
            <v>20</v>
          </cell>
          <cell r="Q27" t="str">
            <v>D</v>
          </cell>
        </row>
        <row r="28">
          <cell r="A28">
            <v>22</v>
          </cell>
          <cell r="B28">
            <v>6491</v>
          </cell>
          <cell r="C28" t="str">
            <v>BURJA</v>
          </cell>
          <cell r="D28" t="str">
            <v>ŽANA</v>
          </cell>
          <cell r="E28" t="str">
            <v>DOMŽA</v>
          </cell>
          <cell r="F28">
            <v>98</v>
          </cell>
          <cell r="J28">
            <v>52</v>
          </cell>
          <cell r="L28" t="str">
            <v>GT</v>
          </cell>
          <cell r="N28">
            <v>10</v>
          </cell>
          <cell r="Q28" t="str">
            <v>D</v>
          </cell>
        </row>
        <row r="29">
          <cell r="A29">
            <v>23</v>
          </cell>
          <cell r="B29">
            <v>6854</v>
          </cell>
          <cell r="C29" t="str">
            <v>BURGER</v>
          </cell>
          <cell r="D29" t="str">
            <v>EVGENIJA</v>
          </cell>
          <cell r="E29" t="str">
            <v>OTOČE</v>
          </cell>
          <cell r="F29">
            <v>98</v>
          </cell>
          <cell r="J29">
            <v>53</v>
          </cell>
          <cell r="L29" t="str">
            <v>GT</v>
          </cell>
          <cell r="N29">
            <v>10</v>
          </cell>
          <cell r="Q29" t="str">
            <v>D</v>
          </cell>
        </row>
        <row r="30">
          <cell r="A30">
            <v>24</v>
          </cell>
          <cell r="B30">
            <v>6837</v>
          </cell>
          <cell r="C30" t="str">
            <v>ŠARABON</v>
          </cell>
          <cell r="D30" t="str">
            <v>LARA</v>
          </cell>
          <cell r="E30" t="str">
            <v>RADOV</v>
          </cell>
          <cell r="F30">
            <v>95</v>
          </cell>
          <cell r="J30">
            <v>54</v>
          </cell>
          <cell r="L30" t="str">
            <v>GT</v>
          </cell>
          <cell r="N30">
            <v>10</v>
          </cell>
          <cell r="Q30" t="str">
            <v>D</v>
          </cell>
        </row>
        <row r="31">
          <cell r="A31">
            <v>25</v>
          </cell>
          <cell r="B31">
            <v>6907</v>
          </cell>
          <cell r="C31" t="str">
            <v>PEROŠA</v>
          </cell>
          <cell r="D31" t="str">
            <v>SILVIJA</v>
          </cell>
          <cell r="E31" t="str">
            <v>KOPER</v>
          </cell>
          <cell r="F31">
            <v>98</v>
          </cell>
          <cell r="J31">
            <v>56</v>
          </cell>
          <cell r="L31" t="str">
            <v>GT</v>
          </cell>
          <cell r="N31">
            <v>10</v>
          </cell>
          <cell r="Q31" t="str">
            <v>D</v>
          </cell>
        </row>
        <row r="32">
          <cell r="A32">
            <v>26</v>
          </cell>
          <cell r="B32">
            <v>5920</v>
          </cell>
          <cell r="C32" t="str">
            <v>FIŠER</v>
          </cell>
          <cell r="D32" t="str">
            <v>EVA</v>
          </cell>
          <cell r="E32" t="str">
            <v>KOPER</v>
          </cell>
          <cell r="F32">
            <v>95</v>
          </cell>
          <cell r="J32">
            <v>58</v>
          </cell>
          <cell r="L32" t="str">
            <v>K</v>
          </cell>
          <cell r="N32">
            <v>10</v>
          </cell>
          <cell r="Q32" t="str">
            <v>K</v>
          </cell>
        </row>
        <row r="33">
          <cell r="A33">
            <v>27</v>
          </cell>
          <cell r="B33">
            <v>6836</v>
          </cell>
          <cell r="C33" t="str">
            <v>ZUKIČ</v>
          </cell>
          <cell r="D33" t="str">
            <v>SANDRA</v>
          </cell>
          <cell r="E33" t="str">
            <v>KOPER</v>
          </cell>
          <cell r="F33">
            <v>97</v>
          </cell>
          <cell r="J33">
            <v>59</v>
          </cell>
          <cell r="L33" t="str">
            <v>K</v>
          </cell>
          <cell r="N33">
            <v>10</v>
          </cell>
          <cell r="Q33" t="str">
            <v>K</v>
          </cell>
        </row>
        <row r="34">
          <cell r="A34">
            <v>28</v>
          </cell>
          <cell r="B34">
            <v>6681</v>
          </cell>
          <cell r="C34" t="str">
            <v>SEFIČ</v>
          </cell>
          <cell r="D34" t="str">
            <v>LAURA</v>
          </cell>
          <cell r="E34" t="str">
            <v>RADOV</v>
          </cell>
          <cell r="F34">
            <v>97</v>
          </cell>
          <cell r="J34">
            <v>60</v>
          </cell>
          <cell r="L34" t="str">
            <v>K</v>
          </cell>
          <cell r="N34">
            <v>10</v>
          </cell>
          <cell r="Q34" t="str">
            <v>K</v>
          </cell>
        </row>
        <row r="35">
          <cell r="A35">
            <v>29</v>
          </cell>
          <cell r="B35">
            <v>7475</v>
          </cell>
          <cell r="C35" t="str">
            <v>TURNŠEK</v>
          </cell>
          <cell r="D35" t="str">
            <v>ANJA</v>
          </cell>
          <cell r="E35" t="str">
            <v>LTC</v>
          </cell>
          <cell r="F35">
            <v>97</v>
          </cell>
          <cell r="J35">
            <v>73</v>
          </cell>
          <cell r="L35" t="str">
            <v>K</v>
          </cell>
          <cell r="N35">
            <v>10</v>
          </cell>
          <cell r="Q35" t="str">
            <v>K</v>
          </cell>
        </row>
        <row r="36">
          <cell r="A36">
            <v>30</v>
          </cell>
          <cell r="B36">
            <v>6916</v>
          </cell>
          <cell r="C36" t="str">
            <v>MAKAROVIČ</v>
          </cell>
          <cell r="D36" t="str">
            <v>ANIKA</v>
          </cell>
          <cell r="E36" t="str">
            <v>MAJA</v>
          </cell>
          <cell r="F36">
            <v>35802</v>
          </cell>
          <cell r="J36" t="str">
            <v>NR</v>
          </cell>
          <cell r="L36" t="str">
            <v>K</v>
          </cell>
          <cell r="N36">
            <v>10</v>
          </cell>
          <cell r="Q36" t="str">
            <v>K</v>
          </cell>
        </row>
        <row r="37">
          <cell r="A37">
            <v>31</v>
          </cell>
          <cell r="B37">
            <v>7343</v>
          </cell>
          <cell r="C37" t="str">
            <v>MERVIČ</v>
          </cell>
          <cell r="D37" t="str">
            <v>ANA</v>
          </cell>
          <cell r="E37" t="str">
            <v>N.GOR</v>
          </cell>
          <cell r="F37">
            <v>36045</v>
          </cell>
          <cell r="J37" t="str">
            <v>NR</v>
          </cell>
          <cell r="L37" t="str">
            <v>K</v>
          </cell>
          <cell r="N37">
            <v>10</v>
          </cell>
          <cell r="Q37" t="str">
            <v>D</v>
          </cell>
        </row>
        <row r="38">
          <cell r="A38">
            <v>32</v>
          </cell>
          <cell r="B38">
            <v>8888</v>
          </cell>
          <cell r="C38" t="str">
            <v>DEVETAK</v>
          </cell>
          <cell r="D38" t="str">
            <v>MARTINA</v>
          </cell>
          <cell r="E38" t="str">
            <v>ITA</v>
          </cell>
          <cell r="F38">
            <v>98</v>
          </cell>
          <cell r="G38" t="str">
            <v>pozna prijava</v>
          </cell>
          <cell r="J38" t="str">
            <v>NR</v>
          </cell>
          <cell r="L38" t="str">
            <v>K</v>
          </cell>
          <cell r="N38">
            <v>10</v>
          </cell>
          <cell r="Q38" t="str">
            <v>D</v>
          </cell>
        </row>
      </sheetData>
      <sheetData sheetId="8">
        <row r="63">
          <cell r="Q63">
            <v>2</v>
          </cell>
        </row>
      </sheetData>
      <sheetData sheetId="10">
        <row r="7">
          <cell r="A7">
            <v>1</v>
          </cell>
          <cell r="B7">
            <v>6170</v>
          </cell>
          <cell r="C7" t="str">
            <v>ČAČIČ</v>
          </cell>
          <cell r="D7" t="str">
            <v>NINO</v>
          </cell>
          <cell r="E7" t="str">
            <v>ŽTKMB</v>
          </cell>
          <cell r="F7">
            <v>96</v>
          </cell>
          <cell r="G7" t="str">
            <v>odjava, pozna prijava</v>
          </cell>
          <cell r="J7">
            <v>53</v>
          </cell>
          <cell r="N7">
            <v>10</v>
          </cell>
          <cell r="Q7" t="str">
            <v>D</v>
          </cell>
          <cell r="R7">
            <v>1</v>
          </cell>
        </row>
        <row r="8">
          <cell r="A8">
            <v>2</v>
          </cell>
          <cell r="B8">
            <v>6470</v>
          </cell>
          <cell r="C8" t="str">
            <v>FRANK</v>
          </cell>
          <cell r="D8" t="str">
            <v>JURE</v>
          </cell>
          <cell r="E8" t="str">
            <v>ŽTKMB</v>
          </cell>
          <cell r="F8">
            <v>97</v>
          </cell>
          <cell r="J8">
            <v>56</v>
          </cell>
          <cell r="N8">
            <v>10</v>
          </cell>
          <cell r="Q8" t="str">
            <v>D</v>
          </cell>
          <cell r="R8">
            <v>2</v>
          </cell>
        </row>
        <row r="9">
          <cell r="A9">
            <v>3</v>
          </cell>
          <cell r="B9">
            <v>6509</v>
          </cell>
          <cell r="C9" t="str">
            <v>ŽMAVC</v>
          </cell>
          <cell r="D9" t="str">
            <v>ŽAN</v>
          </cell>
          <cell r="E9" t="str">
            <v>TR-KR</v>
          </cell>
          <cell r="F9">
            <v>98</v>
          </cell>
          <cell r="J9">
            <v>57</v>
          </cell>
          <cell r="N9">
            <v>10</v>
          </cell>
          <cell r="Q9" t="str">
            <v>D</v>
          </cell>
          <cell r="R9">
            <v>3</v>
          </cell>
        </row>
        <row r="10">
          <cell r="A10">
            <v>4</v>
          </cell>
          <cell r="B10">
            <v>6904</v>
          </cell>
          <cell r="C10" t="str">
            <v>NIKOLAŠ</v>
          </cell>
          <cell r="D10" t="str">
            <v>KLEMEN</v>
          </cell>
          <cell r="E10" t="str">
            <v>TR-KR</v>
          </cell>
          <cell r="F10">
            <v>98</v>
          </cell>
          <cell r="J10">
            <v>58</v>
          </cell>
          <cell r="N10">
            <v>10</v>
          </cell>
          <cell r="Q10" t="str">
            <v>D</v>
          </cell>
          <cell r="R10">
            <v>4</v>
          </cell>
        </row>
        <row r="11">
          <cell r="A11">
            <v>5</v>
          </cell>
          <cell r="B11">
            <v>6564</v>
          </cell>
          <cell r="C11" t="str">
            <v>DROBNIČ</v>
          </cell>
          <cell r="D11" t="str">
            <v>ŽIGA</v>
          </cell>
          <cell r="E11" t="str">
            <v>ZKLUB</v>
          </cell>
          <cell r="F11">
            <v>97</v>
          </cell>
          <cell r="J11">
            <v>59</v>
          </cell>
          <cell r="N11">
            <v>10</v>
          </cell>
          <cell r="Q11" t="str">
            <v>D</v>
          </cell>
          <cell r="R11">
            <v>5</v>
          </cell>
        </row>
        <row r="12">
          <cell r="A12">
            <v>6</v>
          </cell>
          <cell r="B12">
            <v>6789</v>
          </cell>
          <cell r="C12" t="str">
            <v>KAPLJA</v>
          </cell>
          <cell r="D12" t="str">
            <v>ALJAŽ JAKOB</v>
          </cell>
          <cell r="E12" t="str">
            <v>RADOM</v>
          </cell>
          <cell r="F12">
            <v>97</v>
          </cell>
          <cell r="J12">
            <v>63</v>
          </cell>
          <cell r="N12">
            <v>10</v>
          </cell>
          <cell r="Q12" t="str">
            <v>D</v>
          </cell>
          <cell r="R12">
            <v>6</v>
          </cell>
        </row>
        <row r="13">
          <cell r="A13">
            <v>7</v>
          </cell>
          <cell r="B13">
            <v>6030</v>
          </cell>
          <cell r="C13" t="str">
            <v>HOBACHER</v>
          </cell>
          <cell r="D13" t="str">
            <v>DOMINIK</v>
          </cell>
          <cell r="E13" t="str">
            <v>TKCEN</v>
          </cell>
          <cell r="F13">
            <v>95</v>
          </cell>
          <cell r="J13">
            <v>64</v>
          </cell>
          <cell r="N13">
            <v>10</v>
          </cell>
          <cell r="Q13" t="str">
            <v>D</v>
          </cell>
          <cell r="R13">
            <v>7</v>
          </cell>
        </row>
        <row r="14">
          <cell r="A14">
            <v>8</v>
          </cell>
          <cell r="B14">
            <v>6219</v>
          </cell>
          <cell r="C14" t="str">
            <v>ŠTER</v>
          </cell>
          <cell r="D14" t="str">
            <v>NEJC</v>
          </cell>
          <cell r="E14" t="str">
            <v>ASLIT</v>
          </cell>
          <cell r="F14">
            <v>97</v>
          </cell>
          <cell r="G14" t="str">
            <v>POZNA PRIJAVA</v>
          </cell>
          <cell r="J14">
            <v>70</v>
          </cell>
          <cell r="N14">
            <v>10</v>
          </cell>
          <cell r="Q14" t="str">
            <v>D</v>
          </cell>
          <cell r="R14">
            <v>8</v>
          </cell>
        </row>
        <row r="15">
          <cell r="A15">
            <v>9</v>
          </cell>
          <cell r="B15">
            <v>6902</v>
          </cell>
          <cell r="C15" t="str">
            <v>FERJAN</v>
          </cell>
          <cell r="D15" t="str">
            <v>NEJC</v>
          </cell>
          <cell r="E15" t="str">
            <v>TR-KR</v>
          </cell>
          <cell r="F15">
            <v>98</v>
          </cell>
          <cell r="J15">
            <v>72</v>
          </cell>
          <cell r="N15">
            <v>10</v>
          </cell>
          <cell r="Q15" t="str">
            <v>D</v>
          </cell>
        </row>
        <row r="16">
          <cell r="A16">
            <v>10</v>
          </cell>
          <cell r="B16">
            <v>6220</v>
          </cell>
          <cell r="C16" t="str">
            <v>POGLAJEN</v>
          </cell>
          <cell r="D16" t="str">
            <v>TIM</v>
          </cell>
          <cell r="E16" t="str">
            <v>ASLIT</v>
          </cell>
          <cell r="F16">
            <v>95</v>
          </cell>
          <cell r="J16">
            <v>73</v>
          </cell>
          <cell r="N16">
            <v>10</v>
          </cell>
          <cell r="Q16" t="str">
            <v>D</v>
          </cell>
        </row>
        <row r="17">
          <cell r="A17">
            <v>11</v>
          </cell>
          <cell r="B17">
            <v>6433</v>
          </cell>
          <cell r="C17" t="str">
            <v>ŽIDAN</v>
          </cell>
          <cell r="D17" t="str">
            <v>EMIL</v>
          </cell>
          <cell r="E17" t="str">
            <v>TABRE</v>
          </cell>
          <cell r="F17">
            <v>97</v>
          </cell>
          <cell r="J17">
            <v>75</v>
          </cell>
          <cell r="N17">
            <v>10</v>
          </cell>
          <cell r="Q17" t="str">
            <v>D</v>
          </cell>
        </row>
        <row r="18">
          <cell r="A18">
            <v>12</v>
          </cell>
          <cell r="B18">
            <v>6569</v>
          </cell>
          <cell r="C18" t="str">
            <v>RADIŠIČ</v>
          </cell>
          <cell r="D18" t="str">
            <v>LUKA</v>
          </cell>
          <cell r="E18" t="str">
            <v>TABRE</v>
          </cell>
          <cell r="F18">
            <v>96</v>
          </cell>
          <cell r="J18">
            <v>78</v>
          </cell>
          <cell r="N18">
            <v>10</v>
          </cell>
          <cell r="Q18" t="str">
            <v>D</v>
          </cell>
        </row>
        <row r="19">
          <cell r="A19">
            <v>13</v>
          </cell>
          <cell r="B19">
            <v>7297</v>
          </cell>
          <cell r="C19" t="str">
            <v>JUŽNIČ</v>
          </cell>
          <cell r="D19" t="str">
            <v>DAVID</v>
          </cell>
          <cell r="E19" t="str">
            <v>KOČEV</v>
          </cell>
          <cell r="F19">
            <v>96</v>
          </cell>
          <cell r="J19">
            <v>81</v>
          </cell>
          <cell r="N19">
            <v>10</v>
          </cell>
          <cell r="Q19" t="str">
            <v>D</v>
          </cell>
        </row>
        <row r="20">
          <cell r="A20">
            <v>14</v>
          </cell>
          <cell r="B20">
            <v>6456</v>
          </cell>
          <cell r="C20" t="str">
            <v>HRIBAR</v>
          </cell>
          <cell r="D20" t="str">
            <v>NIK</v>
          </cell>
          <cell r="E20" t="str">
            <v>OTOČE</v>
          </cell>
          <cell r="F20">
            <v>98</v>
          </cell>
          <cell r="J20">
            <v>88</v>
          </cell>
          <cell r="N20">
            <v>10</v>
          </cell>
          <cell r="Q20" t="str">
            <v>D</v>
          </cell>
        </row>
        <row r="21">
          <cell r="A21">
            <v>15</v>
          </cell>
          <cell r="B21">
            <v>5852</v>
          </cell>
          <cell r="C21" t="str">
            <v>ČUK</v>
          </cell>
          <cell r="D21" t="str">
            <v>MARK</v>
          </cell>
          <cell r="E21" t="str">
            <v>ASLIT</v>
          </cell>
          <cell r="F21">
            <v>95</v>
          </cell>
          <cell r="J21">
            <v>95</v>
          </cell>
          <cell r="N21">
            <v>10</v>
          </cell>
          <cell r="Q21" t="str">
            <v>D</v>
          </cell>
        </row>
        <row r="22">
          <cell r="A22">
            <v>16</v>
          </cell>
          <cell r="B22">
            <v>7727</v>
          </cell>
          <cell r="C22" t="str">
            <v>MILEUSNIČ</v>
          </cell>
          <cell r="D22" t="str">
            <v>GREGOR</v>
          </cell>
          <cell r="E22" t="str">
            <v>KOPER</v>
          </cell>
          <cell r="F22">
            <v>95</v>
          </cell>
          <cell r="J22">
            <v>105</v>
          </cell>
          <cell r="N22">
            <v>10</v>
          </cell>
          <cell r="Q22" t="str">
            <v>D</v>
          </cell>
        </row>
        <row r="23">
          <cell r="A23">
            <v>17</v>
          </cell>
          <cell r="B23">
            <v>6222</v>
          </cell>
          <cell r="C23" t="str">
            <v>POGLAJEN</v>
          </cell>
          <cell r="D23" t="str">
            <v>NIK</v>
          </cell>
          <cell r="E23" t="str">
            <v>ASLIT</v>
          </cell>
          <cell r="F23">
            <v>97</v>
          </cell>
          <cell r="J23">
            <v>108</v>
          </cell>
          <cell r="N23">
            <v>10</v>
          </cell>
          <cell r="Q23" t="str">
            <v>D</v>
          </cell>
        </row>
        <row r="24">
          <cell r="A24">
            <v>18</v>
          </cell>
          <cell r="B24">
            <v>7488</v>
          </cell>
          <cell r="C24" t="str">
            <v>FAJFAR</v>
          </cell>
          <cell r="D24" t="str">
            <v>TINE</v>
          </cell>
          <cell r="E24" t="str">
            <v>TR-KR</v>
          </cell>
          <cell r="F24">
            <v>35708</v>
          </cell>
          <cell r="J24" t="str">
            <v>NR</v>
          </cell>
          <cell r="N24">
            <v>10</v>
          </cell>
          <cell r="Q24" t="str">
            <v>D</v>
          </cell>
        </row>
        <row r="25">
          <cell r="A25">
            <v>19</v>
          </cell>
          <cell r="B25">
            <v>7786</v>
          </cell>
          <cell r="C25" t="str">
            <v>Purić</v>
          </cell>
          <cell r="D25" t="str">
            <v>Dorian</v>
          </cell>
          <cell r="E25" t="str">
            <v>KOPER</v>
          </cell>
          <cell r="F25">
            <v>35683</v>
          </cell>
          <cell r="J25" t="str">
            <v>NR</v>
          </cell>
          <cell r="N25">
            <v>10</v>
          </cell>
          <cell r="Q25" t="str">
            <v>D</v>
          </cell>
        </row>
        <row r="26">
          <cell r="A26">
            <v>20</v>
          </cell>
          <cell r="B26">
            <v>6652</v>
          </cell>
          <cell r="C26" t="str">
            <v>REBEC</v>
          </cell>
          <cell r="D26" t="str">
            <v>NIK</v>
          </cell>
          <cell r="E26" t="str">
            <v>KOPER</v>
          </cell>
          <cell r="F26">
            <v>35625</v>
          </cell>
          <cell r="J26" t="str">
            <v>NR</v>
          </cell>
          <cell r="N26">
            <v>10</v>
          </cell>
          <cell r="Q26" t="str">
            <v>D</v>
          </cell>
        </row>
        <row r="27">
          <cell r="A27">
            <v>21</v>
          </cell>
          <cell r="B27">
            <v>8888</v>
          </cell>
          <cell r="C27" t="str">
            <v>TRAJKOVSKI </v>
          </cell>
          <cell r="D27" t="str">
            <v>ANDREJ</v>
          </cell>
          <cell r="E27" t="str">
            <v>SRB</v>
          </cell>
          <cell r="F27">
            <v>97</v>
          </cell>
          <cell r="J27" t="str">
            <v>NR</v>
          </cell>
          <cell r="N27">
            <v>10</v>
          </cell>
          <cell r="Q27" t="str">
            <v>D</v>
          </cell>
        </row>
        <row r="28">
          <cell r="A28">
            <v>22</v>
          </cell>
          <cell r="B28">
            <v>6917</v>
          </cell>
          <cell r="C28" t="str">
            <v>LAVRENČIČ</v>
          </cell>
          <cell r="D28" t="str">
            <v>NEJC</v>
          </cell>
          <cell r="E28" t="str">
            <v>N.GOR</v>
          </cell>
          <cell r="F28">
            <v>98</v>
          </cell>
          <cell r="J28" t="str">
            <v>NR</v>
          </cell>
          <cell r="N28">
            <v>10</v>
          </cell>
          <cell r="Q28" t="str">
            <v>D</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12">
        <row r="7">
          <cell r="A7">
            <v>1</v>
          </cell>
          <cell r="B7">
            <v>6520</v>
          </cell>
          <cell r="C7" t="str">
            <v>KLANEČEK</v>
          </cell>
          <cell r="D7" t="str">
            <v>SAŠA</v>
          </cell>
          <cell r="E7" t="str">
            <v>ŽTKMB</v>
          </cell>
          <cell r="F7">
            <v>98</v>
          </cell>
          <cell r="G7" t="str">
            <v>pozna prijava</v>
          </cell>
          <cell r="J7">
            <v>25</v>
          </cell>
          <cell r="L7" t="str">
            <v>K</v>
          </cell>
          <cell r="N7">
            <v>20</v>
          </cell>
          <cell r="Q7" t="str">
            <v>D</v>
          </cell>
          <cell r="R7">
            <v>1</v>
          </cell>
        </row>
        <row r="8">
          <cell r="A8">
            <v>2</v>
          </cell>
          <cell r="B8">
            <v>5920</v>
          </cell>
          <cell r="C8" t="str">
            <v>FIŠER</v>
          </cell>
          <cell r="D8" t="str">
            <v>EVA</v>
          </cell>
          <cell r="E8" t="str">
            <v>KOPER</v>
          </cell>
          <cell r="F8">
            <v>95</v>
          </cell>
          <cell r="J8">
            <v>58</v>
          </cell>
          <cell r="L8" t="str">
            <v>K</v>
          </cell>
          <cell r="N8">
            <v>10</v>
          </cell>
          <cell r="Q8" t="str">
            <v>D</v>
          </cell>
          <cell r="R8">
            <v>2</v>
          </cell>
        </row>
        <row r="9">
          <cell r="A9">
            <v>3</v>
          </cell>
          <cell r="B9">
            <v>6836</v>
          </cell>
          <cell r="C9" t="str">
            <v>ZUKIČ</v>
          </cell>
          <cell r="D9" t="str">
            <v>SANDRA</v>
          </cell>
          <cell r="E9" t="str">
            <v>KOPER</v>
          </cell>
          <cell r="F9">
            <v>97</v>
          </cell>
          <cell r="J9">
            <v>59</v>
          </cell>
          <cell r="L9" t="str">
            <v>K</v>
          </cell>
          <cell r="N9">
            <v>10</v>
          </cell>
          <cell r="Q9" t="str">
            <v>D</v>
          </cell>
          <cell r="R9">
            <v>3</v>
          </cell>
        </row>
        <row r="10">
          <cell r="A10">
            <v>4</v>
          </cell>
          <cell r="B10">
            <v>6681</v>
          </cell>
          <cell r="C10" t="str">
            <v>SEFIČ</v>
          </cell>
          <cell r="D10" t="str">
            <v>LAURA</v>
          </cell>
          <cell r="E10" t="str">
            <v>RADOV</v>
          </cell>
          <cell r="F10">
            <v>97</v>
          </cell>
          <cell r="J10">
            <v>60</v>
          </cell>
          <cell r="L10" t="str">
            <v>K</v>
          </cell>
          <cell r="N10">
            <v>10</v>
          </cell>
          <cell r="Q10" t="str">
            <v>D</v>
          </cell>
          <cell r="R10">
            <v>4</v>
          </cell>
        </row>
        <row r="11">
          <cell r="A11">
            <v>5</v>
          </cell>
          <cell r="B11">
            <v>7475</v>
          </cell>
          <cell r="C11" t="str">
            <v>TURNŠEK</v>
          </cell>
          <cell r="D11" t="str">
            <v>ANJA</v>
          </cell>
          <cell r="E11" t="str">
            <v>LTC</v>
          </cell>
          <cell r="F11">
            <v>97</v>
          </cell>
          <cell r="J11">
            <v>73</v>
          </cell>
          <cell r="L11" t="str">
            <v>K</v>
          </cell>
          <cell r="N11">
            <v>10</v>
          </cell>
          <cell r="Q11" t="str">
            <v>D</v>
          </cell>
          <cell r="R11">
            <v>5</v>
          </cell>
        </row>
        <row r="12">
          <cell r="A12">
            <v>6</v>
          </cell>
          <cell r="B12">
            <v>6916</v>
          </cell>
          <cell r="C12" t="str">
            <v>MAKAROVIČ</v>
          </cell>
          <cell r="D12" t="str">
            <v>ANIKA</v>
          </cell>
          <cell r="E12" t="str">
            <v>MAJA</v>
          </cell>
          <cell r="F12">
            <v>35802</v>
          </cell>
          <cell r="J12" t="str">
            <v>NR</v>
          </cell>
          <cell r="L12" t="str">
            <v>K</v>
          </cell>
          <cell r="N12">
            <v>10</v>
          </cell>
          <cell r="Q12" t="str">
            <v>D</v>
          </cell>
        </row>
        <row r="13">
          <cell r="A13">
            <v>7</v>
          </cell>
          <cell r="B13">
            <v>7343</v>
          </cell>
          <cell r="C13" t="str">
            <v>MERVIČ</v>
          </cell>
          <cell r="D13" t="str">
            <v>ANA</v>
          </cell>
          <cell r="E13" t="str">
            <v>N.GOR</v>
          </cell>
          <cell r="F13">
            <v>36045</v>
          </cell>
          <cell r="J13" t="str">
            <v>NR</v>
          </cell>
          <cell r="L13" t="str">
            <v>K</v>
          </cell>
          <cell r="N13">
            <v>10</v>
          </cell>
          <cell r="Q13" t="str">
            <v>D</v>
          </cell>
        </row>
        <row r="14">
          <cell r="A14">
            <v>8</v>
          </cell>
          <cell r="B14">
            <v>6871</v>
          </cell>
          <cell r="C14" t="str">
            <v>HANC</v>
          </cell>
          <cell r="D14" t="str">
            <v>ŽIVA</v>
          </cell>
          <cell r="E14" t="str">
            <v>MEDVO</v>
          </cell>
          <cell r="F14">
            <v>98</v>
          </cell>
          <cell r="G14" t="str">
            <v>pozna prijava</v>
          </cell>
          <cell r="J14" t="str">
            <v>NR</v>
          </cell>
          <cell r="L14" t="str">
            <v>K</v>
          </cell>
          <cell r="N14">
            <v>10</v>
          </cell>
          <cell r="Q14" t="str">
            <v>D</v>
          </cell>
        </row>
        <row r="15">
          <cell r="A15">
            <v>9</v>
          </cell>
          <cell r="B15">
            <v>6870</v>
          </cell>
          <cell r="C15" t="str">
            <v>HANC</v>
          </cell>
          <cell r="D15" t="str">
            <v>VERONIKA</v>
          </cell>
          <cell r="E15" t="str">
            <v>MEDVO</v>
          </cell>
          <cell r="F15">
            <v>98</v>
          </cell>
          <cell r="G15" t="str">
            <v>pozna prijava</v>
          </cell>
          <cell r="J15" t="str">
            <v>NR</v>
          </cell>
          <cell r="L15" t="str">
            <v>K</v>
          </cell>
          <cell r="N15">
            <v>10</v>
          </cell>
          <cell r="Q15" t="str">
            <v>D</v>
          </cell>
        </row>
        <row r="16">
          <cell r="A16">
            <v>10</v>
          </cell>
          <cell r="B16">
            <v>8888</v>
          </cell>
          <cell r="C16" t="str">
            <v>DEVETAK</v>
          </cell>
          <cell r="D16" t="str">
            <v>MARTINA</v>
          </cell>
          <cell r="E16" t="str">
            <v>ITA</v>
          </cell>
          <cell r="F16">
            <v>98</v>
          </cell>
          <cell r="G16" t="str">
            <v>pozna prijava</v>
          </cell>
          <cell r="J16" t="str">
            <v>NR</v>
          </cell>
          <cell r="L16" t="str">
            <v>K</v>
          </cell>
          <cell r="N16">
            <v>10</v>
          </cell>
          <cell r="Q16" t="str">
            <v>D</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15">
        <row r="7">
          <cell r="A7" t="str">
            <v>št.</v>
          </cell>
          <cell r="B7" t="str">
            <v>šifra</v>
          </cell>
          <cell r="C7" t="str">
            <v>priimek</v>
          </cell>
          <cell r="D7" t="str">
            <v>ime</v>
          </cell>
          <cell r="E7" t="str">
            <v>klub</v>
          </cell>
          <cell r="I7" t="str">
            <v>mesto mednar.</v>
          </cell>
          <cell r="J7" t="str">
            <v>mesto TZS</v>
          </cell>
          <cell r="R7" t="str">
            <v>šifra</v>
          </cell>
          <cell r="S7" t="str">
            <v>priimek</v>
          </cell>
          <cell r="T7" t="str">
            <v>ime</v>
          </cell>
          <cell r="U7" t="str">
            <v>klub</v>
          </cell>
          <cell r="Y7" t="str">
            <v>mesto mednar. </v>
          </cell>
          <cell r="Z7" t="str">
            <v>mesto TZS</v>
          </cell>
          <cell r="AQ7" t="str">
            <v>metoda rangiranja</v>
          </cell>
          <cell r="AR7" t="str">
            <v>mesto skupaj</v>
          </cell>
          <cell r="AS7" t="str">
            <v>rang TZS</v>
          </cell>
          <cell r="AU7" t="str">
            <v>Status
D,V,N</v>
          </cell>
          <cell r="AV7" t="str">
            <v>status
D,V,N</v>
          </cell>
          <cell r="AW7" t="str">
            <v>nosilca</v>
          </cell>
          <cell r="BD7" t="str">
            <v>MDO</v>
          </cell>
          <cell r="BK7" t="str">
            <v>metoda rangiranja</v>
          </cell>
          <cell r="BL7" t="str">
            <v>Acc
Rank
within
Method</v>
          </cell>
          <cell r="BM7" t="str">
            <v>TB
Rank</v>
          </cell>
          <cell r="BN7" t="str">
            <v>Acc. TB</v>
          </cell>
          <cell r="BO7" t="str">
            <v>To Draw
MD</v>
          </cell>
          <cell r="BP7" t="str">
            <v>Status
D,V,N</v>
          </cell>
        </row>
        <row r="8">
          <cell r="A8">
            <v>1</v>
          </cell>
          <cell r="B8">
            <v>6279</v>
          </cell>
          <cell r="C8" t="str">
            <v>VOLK</v>
          </cell>
          <cell r="D8" t="str">
            <v>LUKA</v>
          </cell>
          <cell r="E8" t="str">
            <v>TR-KR</v>
          </cell>
          <cell r="F8">
            <v>96</v>
          </cell>
          <cell r="J8">
            <v>8</v>
          </cell>
          <cell r="L8" t="str">
            <v>GT </v>
          </cell>
          <cell r="N8">
            <v>40</v>
          </cell>
          <cell r="R8">
            <v>6231</v>
          </cell>
          <cell r="S8" t="str">
            <v>OGOREVC</v>
          </cell>
          <cell r="T8" t="str">
            <v>NACE</v>
          </cell>
          <cell r="U8" t="str">
            <v>BENČ</v>
          </cell>
          <cell r="V8">
            <v>96</v>
          </cell>
          <cell r="Z8">
            <v>10</v>
          </cell>
          <cell r="AB8" t="str">
            <v>GT </v>
          </cell>
          <cell r="AD8">
            <v>30</v>
          </cell>
          <cell r="AH8">
            <v>4</v>
          </cell>
          <cell r="AI8" t="str">
            <v/>
          </cell>
          <cell r="AQ8">
            <v>4</v>
          </cell>
          <cell r="AR8">
            <v>18</v>
          </cell>
          <cell r="AS8" t="str">
            <v/>
          </cell>
          <cell r="AV8" t="str">
            <v>D</v>
          </cell>
          <cell r="AW8">
            <v>1</v>
          </cell>
          <cell r="AX8" t="str">
            <v/>
          </cell>
          <cell r="AY8" t="str">
            <v>e</v>
          </cell>
          <cell r="BG8" t="str">
            <v>e</v>
          </cell>
          <cell r="BH8">
            <v>10</v>
          </cell>
          <cell r="BI8">
            <v>10</v>
          </cell>
          <cell r="BK8" t="str">
            <v>GT</v>
          </cell>
          <cell r="BM8" t="str">
            <v/>
          </cell>
        </row>
        <row r="9">
          <cell r="A9">
            <v>2</v>
          </cell>
          <cell r="B9">
            <v>6061</v>
          </cell>
          <cell r="C9" t="str">
            <v>GERMIČ</v>
          </cell>
          <cell r="D9" t="str">
            <v>ALEŠ</v>
          </cell>
          <cell r="E9" t="str">
            <v>ŽTKMB</v>
          </cell>
          <cell r="F9">
            <v>96</v>
          </cell>
          <cell r="J9">
            <v>11</v>
          </cell>
          <cell r="L9" t="str">
            <v>GT </v>
          </cell>
          <cell r="N9">
            <v>30</v>
          </cell>
          <cell r="R9">
            <v>6449</v>
          </cell>
          <cell r="S9" t="str">
            <v>CAJZEK</v>
          </cell>
          <cell r="T9" t="str">
            <v>ALJAŽ</v>
          </cell>
          <cell r="U9" t="str">
            <v>ROGAŠ</v>
          </cell>
          <cell r="V9">
            <v>95</v>
          </cell>
          <cell r="Z9">
            <v>9</v>
          </cell>
          <cell r="AB9" t="str">
            <v>GT </v>
          </cell>
          <cell r="AD9">
            <v>40</v>
          </cell>
          <cell r="AH9">
            <v>4</v>
          </cell>
          <cell r="AI9" t="str">
            <v/>
          </cell>
          <cell r="AQ9">
            <v>4</v>
          </cell>
          <cell r="AR9">
            <v>20</v>
          </cell>
          <cell r="AS9" t="str">
            <v/>
          </cell>
          <cell r="AU9" t="str">
            <v>gt</v>
          </cell>
          <cell r="AV9" t="str">
            <v>D</v>
          </cell>
          <cell r="AW9">
            <v>2</v>
          </cell>
          <cell r="BB9" t="str">
            <v>b</v>
          </cell>
          <cell r="BC9" t="str">
            <v/>
          </cell>
          <cell r="BK9" t="str">
            <v>b</v>
          </cell>
          <cell r="BL9">
            <v>20</v>
          </cell>
          <cell r="BM9">
            <v>20</v>
          </cell>
        </row>
        <row r="10">
          <cell r="A10">
            <v>3</v>
          </cell>
          <cell r="B10">
            <v>5971</v>
          </cell>
          <cell r="C10" t="str">
            <v>GORŠIČ</v>
          </cell>
          <cell r="D10" t="str">
            <v>SEBASTIJAN</v>
          </cell>
          <cell r="E10" t="str">
            <v>SL-LJ</v>
          </cell>
          <cell r="F10">
            <v>95</v>
          </cell>
          <cell r="J10">
            <v>4</v>
          </cell>
          <cell r="L10" t="str">
            <v>GT </v>
          </cell>
          <cell r="N10">
            <v>70</v>
          </cell>
          <cell r="R10">
            <v>5930</v>
          </cell>
          <cell r="S10" t="str">
            <v>JANEŽIČ</v>
          </cell>
          <cell r="T10" t="str">
            <v>DORIAN TOMAŽ</v>
          </cell>
          <cell r="U10" t="str">
            <v>BENČ</v>
          </cell>
          <cell r="V10">
            <v>95</v>
          </cell>
          <cell r="Z10">
            <v>24</v>
          </cell>
          <cell r="AB10" t="str">
            <v>GT </v>
          </cell>
          <cell r="AD10">
            <v>20</v>
          </cell>
          <cell r="AH10">
            <v>4</v>
          </cell>
          <cell r="AI10" t="str">
            <v/>
          </cell>
          <cell r="AQ10">
            <v>4</v>
          </cell>
          <cell r="AR10">
            <v>28</v>
          </cell>
          <cell r="AS10" t="str">
            <v/>
          </cell>
          <cell r="AV10" t="str">
            <v>D</v>
          </cell>
          <cell r="AW10">
            <v>3</v>
          </cell>
          <cell r="BK10" t="str">
            <v/>
          </cell>
        </row>
        <row r="11">
          <cell r="A11">
            <v>4</v>
          </cell>
          <cell r="B11">
            <v>6592</v>
          </cell>
          <cell r="C11" t="str">
            <v>VOVK</v>
          </cell>
          <cell r="D11" t="str">
            <v>GREGOR</v>
          </cell>
          <cell r="E11" t="str">
            <v>STRAŽ</v>
          </cell>
          <cell r="F11">
            <v>96</v>
          </cell>
          <cell r="J11">
            <v>12</v>
          </cell>
          <cell r="L11" t="str">
            <v>GT </v>
          </cell>
          <cell r="N11">
            <v>30</v>
          </cell>
          <cell r="R11">
            <v>6591</v>
          </cell>
          <cell r="S11" t="str">
            <v>VOVK</v>
          </cell>
          <cell r="T11" t="str">
            <v>PRIMOŽ</v>
          </cell>
          <cell r="U11" t="str">
            <v>STRAŽ</v>
          </cell>
          <cell r="V11">
            <v>96</v>
          </cell>
          <cell r="Z11">
            <v>20</v>
          </cell>
          <cell r="AB11" t="str">
            <v>GT </v>
          </cell>
          <cell r="AD11">
            <v>20</v>
          </cell>
          <cell r="AH11">
            <v>4</v>
          </cell>
          <cell r="AI11" t="str">
            <v/>
          </cell>
          <cell r="AQ11">
            <v>4</v>
          </cell>
          <cell r="AR11">
            <v>32</v>
          </cell>
          <cell r="AS11" t="str">
            <v/>
          </cell>
          <cell r="AV11" t="str">
            <v>D</v>
          </cell>
          <cell r="AW11">
            <v>4</v>
          </cell>
          <cell r="BK11" t="str">
            <v/>
          </cell>
        </row>
        <row r="12">
          <cell r="A12">
            <v>5</v>
          </cell>
          <cell r="B12">
            <v>6166</v>
          </cell>
          <cell r="C12" t="str">
            <v>GAŠPERŠIČ</v>
          </cell>
          <cell r="D12" t="str">
            <v>ŽIGA</v>
          </cell>
          <cell r="E12" t="str">
            <v>RADOV</v>
          </cell>
          <cell r="F12">
            <v>96</v>
          </cell>
          <cell r="J12">
            <v>17</v>
          </cell>
          <cell r="L12" t="str">
            <v>GT </v>
          </cell>
          <cell r="N12">
            <v>30</v>
          </cell>
          <cell r="R12">
            <v>6165</v>
          </cell>
          <cell r="S12" t="str">
            <v>GAŠPERŠIČ</v>
          </cell>
          <cell r="T12" t="str">
            <v>GREGOR</v>
          </cell>
          <cell r="U12" t="str">
            <v>RADOV</v>
          </cell>
          <cell r="V12">
            <v>96</v>
          </cell>
          <cell r="Z12">
            <v>23</v>
          </cell>
          <cell r="AB12" t="str">
            <v>GT </v>
          </cell>
          <cell r="AD12">
            <v>20</v>
          </cell>
          <cell r="AH12">
            <v>4</v>
          </cell>
          <cell r="AI12" t="str">
            <v/>
          </cell>
          <cell r="AQ12">
            <v>4</v>
          </cell>
          <cell r="AR12">
            <v>40</v>
          </cell>
          <cell r="AS12" t="str">
            <v/>
          </cell>
          <cell r="AV12" t="str">
            <v>D</v>
          </cell>
          <cell r="BK12" t="str">
            <v/>
          </cell>
        </row>
        <row r="13">
          <cell r="A13">
            <v>6</v>
          </cell>
          <cell r="B13">
            <v>5908</v>
          </cell>
          <cell r="C13" t="str">
            <v>FUGINA</v>
          </cell>
          <cell r="D13" t="str">
            <v>VID</v>
          </cell>
          <cell r="E13" t="str">
            <v>TC-LJ</v>
          </cell>
          <cell r="F13">
            <v>95</v>
          </cell>
          <cell r="J13">
            <v>22</v>
          </cell>
          <cell r="L13" t="str">
            <v>GT </v>
          </cell>
          <cell r="N13">
            <v>20</v>
          </cell>
          <cell r="R13">
            <v>6368</v>
          </cell>
          <cell r="S13" t="str">
            <v>KEGL</v>
          </cell>
          <cell r="T13" t="str">
            <v>MARINO</v>
          </cell>
          <cell r="U13" t="str">
            <v>TENMS</v>
          </cell>
          <cell r="V13">
            <v>95</v>
          </cell>
          <cell r="Z13">
            <v>27</v>
          </cell>
          <cell r="AB13" t="str">
            <v>GT </v>
          </cell>
          <cell r="AD13">
            <v>20</v>
          </cell>
          <cell r="AH13">
            <v>4</v>
          </cell>
          <cell r="AI13" t="str">
            <v/>
          </cell>
          <cell r="AQ13">
            <v>4</v>
          </cell>
          <cell r="AR13">
            <v>49</v>
          </cell>
          <cell r="AS13" t="str">
            <v/>
          </cell>
          <cell r="AV13" t="str">
            <v>D</v>
          </cell>
          <cell r="BB13" t="str">
            <v>b</v>
          </cell>
          <cell r="BC13" t="str">
            <v/>
          </cell>
          <cell r="BK13" t="str">
            <v>b</v>
          </cell>
          <cell r="BL13">
            <v>49</v>
          </cell>
          <cell r="BM13">
            <v>49</v>
          </cell>
        </row>
        <row r="14">
          <cell r="A14">
            <v>7</v>
          </cell>
          <cell r="B14">
            <v>6470</v>
          </cell>
          <cell r="C14" t="str">
            <v>FRANK</v>
          </cell>
          <cell r="D14" t="str">
            <v>JURE</v>
          </cell>
          <cell r="E14" t="str">
            <v>ŽTKMB</v>
          </cell>
          <cell r="F14">
            <v>97</v>
          </cell>
          <cell r="J14">
            <v>56</v>
          </cell>
          <cell r="N14">
            <v>10</v>
          </cell>
          <cell r="R14">
            <v>6917</v>
          </cell>
          <cell r="S14" t="str">
            <v>LAVRENČIČ</v>
          </cell>
          <cell r="T14" t="str">
            <v>NEJC</v>
          </cell>
          <cell r="U14" t="str">
            <v>N.GOR</v>
          </cell>
          <cell r="V14">
            <v>98</v>
          </cell>
          <cell r="Z14" t="str">
            <v>NR</v>
          </cell>
          <cell r="AD14">
            <v>10</v>
          </cell>
          <cell r="AH14">
            <v>4</v>
          </cell>
          <cell r="AI14" t="str">
            <v/>
          </cell>
          <cell r="AQ14">
            <v>5</v>
          </cell>
          <cell r="AR14">
            <v>56</v>
          </cell>
          <cell r="AS14" t="str">
            <v/>
          </cell>
          <cell r="AV14" t="str">
            <v>D</v>
          </cell>
          <cell r="BB14" t="str">
            <v>b</v>
          </cell>
          <cell r="BC14" t="str">
            <v/>
          </cell>
          <cell r="BK14" t="str">
            <v>b</v>
          </cell>
        </row>
        <row r="15">
          <cell r="A15">
            <v>8</v>
          </cell>
          <cell r="B15">
            <v>6228</v>
          </cell>
          <cell r="C15" t="str">
            <v>LOVIŠČEK</v>
          </cell>
          <cell r="D15" t="str">
            <v>ANŽE</v>
          </cell>
          <cell r="E15" t="str">
            <v>TABRE</v>
          </cell>
          <cell r="F15">
            <v>96</v>
          </cell>
          <cell r="J15">
            <v>25</v>
          </cell>
          <cell r="L15" t="str">
            <v>GT </v>
          </cell>
          <cell r="N15">
            <v>20</v>
          </cell>
          <cell r="R15">
            <v>6242</v>
          </cell>
          <cell r="S15" t="str">
            <v>CVETKOVIČ</v>
          </cell>
          <cell r="T15" t="str">
            <v>TOM</v>
          </cell>
          <cell r="U15" t="str">
            <v>RADOV</v>
          </cell>
          <cell r="V15">
            <v>96</v>
          </cell>
          <cell r="Z15">
            <v>32</v>
          </cell>
          <cell r="AH15">
            <v>4</v>
          </cell>
          <cell r="AI15" t="str">
            <v/>
          </cell>
          <cell r="AQ15">
            <v>4</v>
          </cell>
          <cell r="AR15">
            <v>57</v>
          </cell>
          <cell r="AS15" t="str">
            <v/>
          </cell>
          <cell r="AU15" t="str">
            <v>gt</v>
          </cell>
          <cell r="AV15" t="str">
            <v>D</v>
          </cell>
          <cell r="BB15" t="str">
            <v>b</v>
          </cell>
          <cell r="BC15" t="str">
            <v/>
          </cell>
          <cell r="BK15" t="str">
            <v>b</v>
          </cell>
        </row>
        <row r="16">
          <cell r="A16">
            <v>9</v>
          </cell>
          <cell r="B16">
            <v>6576</v>
          </cell>
          <cell r="C16" t="str">
            <v>DERNIČ</v>
          </cell>
          <cell r="D16" t="str">
            <v>JAN</v>
          </cell>
          <cell r="E16" t="str">
            <v>PORTO</v>
          </cell>
          <cell r="F16">
            <v>95</v>
          </cell>
          <cell r="J16">
            <v>30</v>
          </cell>
          <cell r="L16" t="str">
            <v>GT </v>
          </cell>
          <cell r="N16">
            <v>20</v>
          </cell>
          <cell r="R16">
            <v>5928</v>
          </cell>
          <cell r="S16" t="str">
            <v>BREC</v>
          </cell>
          <cell r="T16" t="str">
            <v>JAKOB</v>
          </cell>
          <cell r="U16" t="str">
            <v>TENAN</v>
          </cell>
          <cell r="V16">
            <v>95</v>
          </cell>
          <cell r="Z16">
            <v>46</v>
          </cell>
          <cell r="AB16" t="str">
            <v>GT </v>
          </cell>
          <cell r="AD16">
            <v>20</v>
          </cell>
          <cell r="AH16">
            <v>4</v>
          </cell>
          <cell r="AI16" t="str">
            <v/>
          </cell>
          <cell r="AQ16">
            <v>4</v>
          </cell>
          <cell r="AR16">
            <v>76</v>
          </cell>
          <cell r="AS16" t="str">
            <v/>
          </cell>
          <cell r="AU16" t="str">
            <v>gt</v>
          </cell>
          <cell r="AV16" t="str">
            <v>D</v>
          </cell>
          <cell r="BB16" t="str">
            <v>b</v>
          </cell>
          <cell r="BC16" t="str">
            <v/>
          </cell>
          <cell r="BK16" t="str">
            <v>b</v>
          </cell>
        </row>
        <row r="17">
          <cell r="A17">
            <v>10</v>
          </cell>
          <cell r="B17">
            <v>6575</v>
          </cell>
          <cell r="C17" t="str">
            <v>DERNIČ</v>
          </cell>
          <cell r="D17" t="str">
            <v>ŽIGA</v>
          </cell>
          <cell r="E17" t="str">
            <v>PORTO</v>
          </cell>
          <cell r="F17">
            <v>95</v>
          </cell>
          <cell r="J17">
            <v>54</v>
          </cell>
          <cell r="L17" t="str">
            <v>GT </v>
          </cell>
          <cell r="N17">
            <v>10</v>
          </cell>
          <cell r="R17">
            <v>6680</v>
          </cell>
          <cell r="S17" t="str">
            <v>DACAR</v>
          </cell>
          <cell r="T17" t="str">
            <v>URBAN</v>
          </cell>
          <cell r="U17" t="str">
            <v>TOPTE</v>
          </cell>
          <cell r="V17">
            <v>96</v>
          </cell>
          <cell r="Z17">
            <v>42</v>
          </cell>
          <cell r="AB17" t="str">
            <v>GT </v>
          </cell>
          <cell r="AD17">
            <v>20</v>
          </cell>
          <cell r="AH17">
            <v>4</v>
          </cell>
          <cell r="AI17" t="str">
            <v/>
          </cell>
          <cell r="AQ17">
            <v>4</v>
          </cell>
          <cell r="AR17">
            <v>96</v>
          </cell>
          <cell r="AS17" t="str">
            <v/>
          </cell>
          <cell r="AU17" t="str">
            <v>gt</v>
          </cell>
          <cell r="AV17" t="str">
            <v>D</v>
          </cell>
          <cell r="BB17" t="str">
            <v>b</v>
          </cell>
          <cell r="BC17" t="str">
            <v/>
          </cell>
          <cell r="BK17" t="str">
            <v>b</v>
          </cell>
        </row>
        <row r="18">
          <cell r="A18">
            <v>11</v>
          </cell>
          <cell r="B18">
            <v>6578</v>
          </cell>
          <cell r="C18" t="str">
            <v>BIČIČ</v>
          </cell>
          <cell r="D18" t="str">
            <v>ALEX</v>
          </cell>
          <cell r="E18" t="str">
            <v>PORTO</v>
          </cell>
          <cell r="F18">
            <v>95</v>
          </cell>
          <cell r="J18">
            <v>37</v>
          </cell>
          <cell r="L18" t="str">
            <v>V</v>
          </cell>
          <cell r="N18">
            <v>20</v>
          </cell>
          <cell r="R18">
            <v>6467</v>
          </cell>
          <cell r="S18" t="str">
            <v>BREZOVEC</v>
          </cell>
          <cell r="T18" t="str">
            <v>PETER</v>
          </cell>
          <cell r="U18" t="str">
            <v>PORTO</v>
          </cell>
          <cell r="V18">
            <v>95</v>
          </cell>
          <cell r="Z18">
            <v>69</v>
          </cell>
          <cell r="AB18" t="str">
            <v>V</v>
          </cell>
          <cell r="AD18">
            <v>10</v>
          </cell>
          <cell r="AH18">
            <v>4</v>
          </cell>
          <cell r="AI18" t="str">
            <v/>
          </cell>
          <cell r="AQ18">
            <v>4</v>
          </cell>
          <cell r="AR18">
            <v>106</v>
          </cell>
          <cell r="AS18" t="str">
            <v/>
          </cell>
          <cell r="AV18" t="str">
            <v>D</v>
          </cell>
          <cell r="BB18" t="str">
            <v>b</v>
          </cell>
          <cell r="BC18" t="str">
            <v/>
          </cell>
          <cell r="BK18" t="str">
            <v>b</v>
          </cell>
        </row>
        <row r="19">
          <cell r="A19">
            <v>12</v>
          </cell>
          <cell r="B19">
            <v>6564</v>
          </cell>
          <cell r="C19" t="str">
            <v>DROBNIČ</v>
          </cell>
          <cell r="D19" t="str">
            <v>ŽIGA</v>
          </cell>
          <cell r="E19" t="str">
            <v>ZKLUB</v>
          </cell>
          <cell r="F19">
            <v>97</v>
          </cell>
          <cell r="J19">
            <v>59</v>
          </cell>
          <cell r="N19">
            <v>10</v>
          </cell>
          <cell r="R19">
            <v>6789</v>
          </cell>
          <cell r="S19" t="str">
            <v>KAPLJA</v>
          </cell>
          <cell r="T19" t="str">
            <v>ALJAŽ JAKOB</v>
          </cell>
          <cell r="U19" t="str">
            <v>RADOM</v>
          </cell>
          <cell r="V19">
            <v>97</v>
          </cell>
          <cell r="Z19">
            <v>63</v>
          </cell>
          <cell r="AD19">
            <v>10</v>
          </cell>
          <cell r="AH19">
            <v>4</v>
          </cell>
          <cell r="AI19" t="str">
            <v/>
          </cell>
          <cell r="AQ19">
            <v>4</v>
          </cell>
          <cell r="AR19">
            <v>122</v>
          </cell>
          <cell r="AS19" t="str">
            <v/>
          </cell>
          <cell r="AV19" t="str">
            <v>D</v>
          </cell>
          <cell r="BB19" t="str">
            <v>b</v>
          </cell>
          <cell r="BC19" t="str">
            <v/>
          </cell>
          <cell r="BK19" t="str">
            <v>b</v>
          </cell>
        </row>
        <row r="20">
          <cell r="A20">
            <v>13</v>
          </cell>
          <cell r="AD20">
            <v>20</v>
          </cell>
          <cell r="AH20" t="str">
            <v/>
          </cell>
          <cell r="AI20" t="str">
            <v/>
          </cell>
          <cell r="AQ20" t="str">
            <v/>
          </cell>
          <cell r="AR20" t="str">
            <v/>
          </cell>
          <cell r="AS20" t="str">
            <v/>
          </cell>
          <cell r="BB20" t="str">
            <v/>
          </cell>
          <cell r="BC20" t="str">
            <v/>
          </cell>
          <cell r="BK20" t="str">
            <v/>
          </cell>
        </row>
        <row r="21">
          <cell r="A21">
            <v>14</v>
          </cell>
          <cell r="AD21">
            <v>20</v>
          </cell>
          <cell r="AH21" t="str">
            <v/>
          </cell>
          <cell r="AI21" t="str">
            <v/>
          </cell>
          <cell r="AQ21" t="str">
            <v/>
          </cell>
          <cell r="AR21" t="str">
            <v/>
          </cell>
          <cell r="AS21" t="str">
            <v/>
          </cell>
          <cell r="BB21" t="str">
            <v/>
          </cell>
          <cell r="BC21" t="str">
            <v/>
          </cell>
          <cell r="BK21" t="str">
            <v/>
          </cell>
        </row>
        <row r="22">
          <cell r="A22">
            <v>15</v>
          </cell>
          <cell r="AD22">
            <v>20</v>
          </cell>
          <cell r="AH22" t="str">
            <v/>
          </cell>
          <cell r="AI22" t="str">
            <v/>
          </cell>
          <cell r="AQ22" t="str">
            <v/>
          </cell>
          <cell r="AR22" t="str">
            <v/>
          </cell>
          <cell r="AS22" t="str">
            <v/>
          </cell>
          <cell r="BB22" t="str">
            <v/>
          </cell>
          <cell r="BC22" t="str">
            <v/>
          </cell>
          <cell r="BK22" t="str">
            <v/>
          </cell>
        </row>
        <row r="23">
          <cell r="A23">
            <v>16</v>
          </cell>
          <cell r="AD23">
            <v>20</v>
          </cell>
          <cell r="AH23" t="str">
            <v/>
          </cell>
          <cell r="AI23" t="str">
            <v/>
          </cell>
          <cell r="AQ23" t="str">
            <v/>
          </cell>
          <cell r="AR23" t="str">
            <v/>
          </cell>
          <cell r="AS23" t="str">
            <v/>
          </cell>
          <cell r="BB23" t="str">
            <v/>
          </cell>
          <cell r="BC23" t="str">
            <v/>
          </cell>
          <cell r="BK23" t="str">
            <v/>
          </cell>
        </row>
        <row r="24">
          <cell r="A24">
            <v>17</v>
          </cell>
          <cell r="N24">
            <v>30</v>
          </cell>
          <cell r="AH24" t="str">
            <v/>
          </cell>
          <cell r="AI24" t="str">
            <v/>
          </cell>
          <cell r="AQ24" t="str">
            <v/>
          </cell>
          <cell r="AR24" t="str">
            <v/>
          </cell>
          <cell r="BB24" t="str">
            <v/>
          </cell>
          <cell r="BC24" t="str">
            <v/>
          </cell>
        </row>
        <row r="25">
          <cell r="A25">
            <v>18</v>
          </cell>
          <cell r="N25">
            <v>30</v>
          </cell>
          <cell r="AH25" t="str">
            <v/>
          </cell>
          <cell r="AI25" t="str">
            <v/>
          </cell>
          <cell r="AQ25" t="str">
            <v/>
          </cell>
          <cell r="AR25" t="str">
            <v/>
          </cell>
          <cell r="BB25" t="str">
            <v/>
          </cell>
          <cell r="BC25" t="str">
            <v/>
          </cell>
        </row>
        <row r="26">
          <cell r="A26">
            <v>19</v>
          </cell>
          <cell r="N26">
            <v>30</v>
          </cell>
          <cell r="AH26" t="str">
            <v/>
          </cell>
          <cell r="AI26" t="str">
            <v/>
          </cell>
          <cell r="AQ26" t="str">
            <v/>
          </cell>
          <cell r="AR26" t="str">
            <v/>
          </cell>
          <cell r="BB26" t="str">
            <v/>
          </cell>
          <cell r="BC26" t="str">
            <v/>
          </cell>
        </row>
        <row r="27">
          <cell r="A27">
            <v>20</v>
          </cell>
          <cell r="AH27" t="str">
            <v/>
          </cell>
          <cell r="AI27" t="str">
            <v/>
          </cell>
          <cell r="AQ27" t="str">
            <v/>
          </cell>
          <cell r="AR27" t="str">
            <v/>
          </cell>
          <cell r="BB27" t="str">
            <v/>
          </cell>
          <cell r="BC27" t="str">
            <v/>
          </cell>
        </row>
        <row r="28">
          <cell r="A28">
            <v>21</v>
          </cell>
          <cell r="AH28" t="str">
            <v/>
          </cell>
          <cell r="AI28" t="str">
            <v/>
          </cell>
          <cell r="AQ28" t="str">
            <v/>
          </cell>
          <cell r="AR28" t="str">
            <v/>
          </cell>
          <cell r="BB28" t="str">
            <v/>
          </cell>
          <cell r="BC28" t="str">
            <v/>
          </cell>
        </row>
        <row r="29">
          <cell r="A29">
            <v>22</v>
          </cell>
          <cell r="AH29" t="str">
            <v/>
          </cell>
          <cell r="AI29" t="str">
            <v/>
          </cell>
          <cell r="AQ29" t="str">
            <v/>
          </cell>
          <cell r="AR29" t="str">
            <v/>
          </cell>
          <cell r="BB29" t="str">
            <v/>
          </cell>
          <cell r="BC29" t="str">
            <v/>
          </cell>
        </row>
        <row r="30">
          <cell r="A30">
            <v>23</v>
          </cell>
          <cell r="AH30" t="str">
            <v/>
          </cell>
          <cell r="AI30" t="str">
            <v/>
          </cell>
          <cell r="AQ30" t="str">
            <v/>
          </cell>
          <cell r="AR30" t="str">
            <v/>
          </cell>
          <cell r="BB30" t="str">
            <v/>
          </cell>
          <cell r="BC30" t="str">
            <v/>
          </cell>
        </row>
        <row r="31">
          <cell r="A31">
            <v>24</v>
          </cell>
          <cell r="AH31" t="str">
            <v/>
          </cell>
          <cell r="AI31" t="str">
            <v/>
          </cell>
          <cell r="AQ31" t="str">
            <v/>
          </cell>
          <cell r="AR31" t="str">
            <v/>
          </cell>
          <cell r="BB31" t="str">
            <v/>
          </cell>
          <cell r="BC31" t="str">
            <v/>
          </cell>
        </row>
        <row r="32">
          <cell r="AH32" t="str">
            <v/>
          </cell>
          <cell r="AI32" t="str">
            <v/>
          </cell>
          <cell r="AR32" t="str">
            <v/>
          </cell>
          <cell r="BB32" t="str">
            <v/>
          </cell>
          <cell r="BC32" t="str">
            <v/>
          </cell>
        </row>
        <row r="33">
          <cell r="AH33" t="str">
            <v/>
          </cell>
          <cell r="AI33" t="str">
            <v/>
          </cell>
          <cell r="AR33" t="str">
            <v/>
          </cell>
        </row>
        <row r="34">
          <cell r="AH34" t="str">
            <v/>
          </cell>
          <cell r="AI34" t="str">
            <v/>
          </cell>
          <cell r="AR34" t="str">
            <v/>
          </cell>
        </row>
        <row r="35">
          <cell r="AH35" t="str">
            <v/>
          </cell>
          <cell r="AI35" t="str">
            <v/>
          </cell>
          <cell r="AR35" t="str">
            <v/>
          </cell>
        </row>
        <row r="36">
          <cell r="AH36" t="str">
            <v/>
          </cell>
          <cell r="AI36" t="str">
            <v/>
          </cell>
          <cell r="AR36" t="str">
            <v/>
          </cell>
        </row>
        <row r="37">
          <cell r="AH37" t="str">
            <v/>
          </cell>
          <cell r="AI37" t="str">
            <v/>
          </cell>
          <cell r="AR37" t="str">
            <v/>
          </cell>
        </row>
        <row r="38">
          <cell r="AH38" t="str">
            <v/>
          </cell>
          <cell r="AI38" t="str">
            <v/>
          </cell>
          <cell r="AR38" t="str">
            <v/>
          </cell>
        </row>
      </sheetData>
      <sheetData sheetId="18">
        <row r="7">
          <cell r="A7" t="str">
            <v>št.</v>
          </cell>
          <cell r="B7" t="str">
            <v>šifra</v>
          </cell>
          <cell r="C7" t="str">
            <v>priimek</v>
          </cell>
          <cell r="D7" t="str">
            <v>ime</v>
          </cell>
          <cell r="E7" t="str">
            <v>klub</v>
          </cell>
          <cell r="I7" t="str">
            <v>mesto mednar.</v>
          </cell>
          <cell r="J7" t="str">
            <v>mesto TZS</v>
          </cell>
          <cell r="R7" t="str">
            <v>šifra</v>
          </cell>
          <cell r="S7" t="str">
            <v>priimek</v>
          </cell>
          <cell r="T7" t="str">
            <v>ime</v>
          </cell>
          <cell r="U7" t="str">
            <v>klub</v>
          </cell>
          <cell r="Y7" t="str">
            <v>mesto mednar. </v>
          </cell>
          <cell r="Z7" t="str">
            <v>mesto TZS</v>
          </cell>
          <cell r="AQ7" t="str">
            <v>metoda rangiranja</v>
          </cell>
          <cell r="AR7" t="str">
            <v>mesto skupaj</v>
          </cell>
          <cell r="AS7" t="str">
            <v>rang TZS</v>
          </cell>
          <cell r="AU7" t="str">
            <v>Status
D,V,N</v>
          </cell>
          <cell r="AV7" t="str">
            <v>status
D,V,N</v>
          </cell>
          <cell r="AW7" t="str">
            <v>nosilki</v>
          </cell>
          <cell r="BC7" t="str">
            <v>MDO</v>
          </cell>
          <cell r="BJ7" t="str">
            <v>metoda rangiranja</v>
          </cell>
          <cell r="BK7" t="str">
            <v>Acc
Rank
within
Method</v>
          </cell>
          <cell r="BL7" t="str">
            <v>TB
Rank</v>
          </cell>
          <cell r="BM7" t="str">
            <v>Acc. TB</v>
          </cell>
          <cell r="BN7" t="str">
            <v>To Draw
MD</v>
          </cell>
          <cell r="BO7" t="str">
            <v>Status
D,V,N</v>
          </cell>
        </row>
        <row r="8">
          <cell r="A8">
            <v>1</v>
          </cell>
          <cell r="B8">
            <v>6593</v>
          </cell>
          <cell r="C8" t="str">
            <v>VOVK</v>
          </cell>
          <cell r="D8" t="str">
            <v>LARA</v>
          </cell>
          <cell r="E8" t="str">
            <v>STRAŽ</v>
          </cell>
          <cell r="F8">
            <v>96</v>
          </cell>
          <cell r="J8">
            <v>6</v>
          </cell>
          <cell r="L8" t="str">
            <v>GT</v>
          </cell>
          <cell r="N8">
            <v>40</v>
          </cell>
          <cell r="R8">
            <v>6238</v>
          </cell>
          <cell r="S8" t="str">
            <v>GLAVIČ</v>
          </cell>
          <cell r="T8" t="str">
            <v>LARA</v>
          </cell>
          <cell r="U8" t="str">
            <v>TOPTE</v>
          </cell>
          <cell r="V8">
            <v>96</v>
          </cell>
          <cell r="Z8">
            <v>15</v>
          </cell>
          <cell r="AB8" t="str">
            <v>GT</v>
          </cell>
          <cell r="AD8">
            <v>30</v>
          </cell>
          <cell r="AH8">
            <v>4</v>
          </cell>
          <cell r="AI8" t="str">
            <v/>
          </cell>
          <cell r="AQ8">
            <v>4</v>
          </cell>
          <cell r="AR8">
            <v>21</v>
          </cell>
          <cell r="AS8" t="str">
            <v/>
          </cell>
          <cell r="AV8" t="str">
            <v>D</v>
          </cell>
          <cell r="AW8">
            <v>1</v>
          </cell>
          <cell r="AX8" t="str">
            <v>e</v>
          </cell>
          <cell r="BF8" t="str">
            <v>???</v>
          </cell>
          <cell r="BG8" t="str">
            <v/>
          </cell>
          <cell r="BH8" t="str">
            <v/>
          </cell>
          <cell r="BJ8" t="str">
            <v>GT</v>
          </cell>
          <cell r="BL8" t="str">
            <v/>
          </cell>
        </row>
        <row r="9">
          <cell r="A9">
            <v>2</v>
          </cell>
          <cell r="B9">
            <v>6236</v>
          </cell>
          <cell r="C9" t="str">
            <v>EMERŠIČ LJUBIČ</v>
          </cell>
          <cell r="D9" t="str">
            <v>KAJA</v>
          </cell>
          <cell r="E9" t="str">
            <v>DOMŽA</v>
          </cell>
          <cell r="F9">
            <v>96</v>
          </cell>
          <cell r="J9">
            <v>12</v>
          </cell>
          <cell r="L9" t="str">
            <v>GT</v>
          </cell>
          <cell r="N9">
            <v>30</v>
          </cell>
          <cell r="R9">
            <v>6322</v>
          </cell>
          <cell r="S9" t="str">
            <v>JERŠE</v>
          </cell>
          <cell r="T9" t="str">
            <v>TJAŠA</v>
          </cell>
          <cell r="U9" t="str">
            <v>TC-LJ</v>
          </cell>
          <cell r="V9">
            <v>96</v>
          </cell>
          <cell r="Z9">
            <v>11</v>
          </cell>
          <cell r="AB9" t="str">
            <v>GT</v>
          </cell>
          <cell r="AD9">
            <v>30</v>
          </cell>
          <cell r="AH9">
            <v>4</v>
          </cell>
          <cell r="AI9" t="str">
            <v/>
          </cell>
          <cell r="AQ9">
            <v>4</v>
          </cell>
          <cell r="AR9">
            <v>23</v>
          </cell>
          <cell r="AS9" t="str">
            <v/>
          </cell>
          <cell r="AU9" t="str">
            <v>gt</v>
          </cell>
          <cell r="AV9" t="str">
            <v>D</v>
          </cell>
          <cell r="AW9">
            <v>2</v>
          </cell>
          <cell r="BA9" t="str">
            <v>b</v>
          </cell>
          <cell r="BB9" t="str">
            <v/>
          </cell>
          <cell r="BJ9" t="str">
            <v>b</v>
          </cell>
          <cell r="BK9">
            <v>23</v>
          </cell>
          <cell r="BL9">
            <v>23</v>
          </cell>
        </row>
        <row r="10">
          <cell r="A10">
            <v>3</v>
          </cell>
          <cell r="B10">
            <v>6453</v>
          </cell>
          <cell r="C10" t="str">
            <v>OPARENOVIČ</v>
          </cell>
          <cell r="D10" t="str">
            <v>ANA</v>
          </cell>
          <cell r="E10" t="str">
            <v>CELJE</v>
          </cell>
          <cell r="F10">
            <v>96</v>
          </cell>
          <cell r="J10">
            <v>5</v>
          </cell>
          <cell r="L10" t="str">
            <v>GT</v>
          </cell>
          <cell r="N10">
            <v>40</v>
          </cell>
          <cell r="R10">
            <v>6144</v>
          </cell>
          <cell r="S10" t="str">
            <v>REJC</v>
          </cell>
          <cell r="T10" t="str">
            <v>SIMONA</v>
          </cell>
          <cell r="U10" t="str">
            <v>IDRIJ</v>
          </cell>
          <cell r="V10">
            <v>96</v>
          </cell>
          <cell r="Z10">
            <v>18</v>
          </cell>
          <cell r="AB10" t="str">
            <v>V</v>
          </cell>
          <cell r="AD10">
            <v>30</v>
          </cell>
          <cell r="AH10">
            <v>4</v>
          </cell>
          <cell r="AI10" t="str">
            <v/>
          </cell>
          <cell r="AQ10">
            <v>4</v>
          </cell>
          <cell r="AR10">
            <v>23</v>
          </cell>
          <cell r="AS10" t="str">
            <v/>
          </cell>
          <cell r="AV10" t="str">
            <v>D</v>
          </cell>
          <cell r="AW10">
            <v>3</v>
          </cell>
          <cell r="BJ10" t="str">
            <v/>
          </cell>
        </row>
        <row r="11">
          <cell r="A11">
            <v>4</v>
          </cell>
          <cell r="B11">
            <v>6528</v>
          </cell>
          <cell r="C11" t="str">
            <v>BUKOVEC</v>
          </cell>
          <cell r="D11" t="str">
            <v>KLAVDIJA</v>
          </cell>
          <cell r="E11" t="str">
            <v>TR-KR</v>
          </cell>
          <cell r="F11">
            <v>96</v>
          </cell>
          <cell r="J11">
            <v>16</v>
          </cell>
          <cell r="L11" t="str">
            <v>GT</v>
          </cell>
          <cell r="N11">
            <v>30</v>
          </cell>
          <cell r="R11">
            <v>6498</v>
          </cell>
          <cell r="S11" t="str">
            <v>SIRŠE</v>
          </cell>
          <cell r="T11" t="str">
            <v>SARA</v>
          </cell>
          <cell r="U11" t="str">
            <v>LTC</v>
          </cell>
          <cell r="V11">
            <v>97</v>
          </cell>
          <cell r="Z11">
            <v>24</v>
          </cell>
          <cell r="AB11" t="str">
            <v>GT</v>
          </cell>
          <cell r="AD11">
            <v>20</v>
          </cell>
          <cell r="AH11">
            <v>4</v>
          </cell>
          <cell r="AI11" t="str">
            <v/>
          </cell>
          <cell r="AQ11">
            <v>4</v>
          </cell>
          <cell r="AR11">
            <v>40</v>
          </cell>
          <cell r="AS11" t="str">
            <v/>
          </cell>
          <cell r="AU11" t="str">
            <v>gt</v>
          </cell>
          <cell r="AV11" t="str">
            <v>D</v>
          </cell>
          <cell r="AW11">
            <v>4</v>
          </cell>
          <cell r="BJ11" t="str">
            <v/>
          </cell>
        </row>
        <row r="12">
          <cell r="A12">
            <v>5</v>
          </cell>
          <cell r="B12">
            <v>7002</v>
          </cell>
          <cell r="C12" t="str">
            <v>GODEC</v>
          </cell>
          <cell r="D12" t="str">
            <v>KRISTINA TINA</v>
          </cell>
          <cell r="E12" t="str">
            <v>ASLIT</v>
          </cell>
          <cell r="F12">
            <v>98</v>
          </cell>
          <cell r="J12">
            <v>43</v>
          </cell>
          <cell r="L12" t="str">
            <v>GT</v>
          </cell>
          <cell r="N12">
            <v>20</v>
          </cell>
          <cell r="R12">
            <v>7343</v>
          </cell>
          <cell r="S12" t="str">
            <v>MERVIČ</v>
          </cell>
          <cell r="T12" t="str">
            <v>ANA</v>
          </cell>
          <cell r="U12" t="str">
            <v>N.GOR</v>
          </cell>
          <cell r="V12">
            <v>36045</v>
          </cell>
          <cell r="Z12" t="str">
            <v>NR</v>
          </cell>
          <cell r="AB12" t="str">
            <v>K</v>
          </cell>
          <cell r="AD12">
            <v>10</v>
          </cell>
          <cell r="AH12">
            <v>4</v>
          </cell>
          <cell r="AI12" t="str">
            <v/>
          </cell>
          <cell r="AQ12">
            <v>5</v>
          </cell>
          <cell r="AR12">
            <v>43</v>
          </cell>
          <cell r="AS12" t="str">
            <v/>
          </cell>
          <cell r="AV12" t="str">
            <v>D</v>
          </cell>
          <cell r="BJ12" t="str">
            <v/>
          </cell>
        </row>
        <row r="13">
          <cell r="A13">
            <v>6</v>
          </cell>
          <cell r="B13">
            <v>6626</v>
          </cell>
          <cell r="C13" t="str">
            <v>TRATNIK</v>
          </cell>
          <cell r="D13" t="str">
            <v>BLAŽKA</v>
          </cell>
          <cell r="E13" t="str">
            <v>IDRIJ</v>
          </cell>
          <cell r="F13">
            <v>98</v>
          </cell>
          <cell r="J13">
            <v>46</v>
          </cell>
          <cell r="L13" t="str">
            <v>GT</v>
          </cell>
          <cell r="N13">
            <v>20</v>
          </cell>
          <cell r="R13">
            <v>6916</v>
          </cell>
          <cell r="S13" t="str">
            <v>MAKAROVIČ</v>
          </cell>
          <cell r="T13" t="str">
            <v>ANIKA</v>
          </cell>
          <cell r="U13" t="str">
            <v>MAJA</v>
          </cell>
          <cell r="V13">
            <v>35802</v>
          </cell>
          <cell r="Z13" t="str">
            <v>NR</v>
          </cell>
          <cell r="AB13" t="str">
            <v>K</v>
          </cell>
          <cell r="AD13">
            <v>10</v>
          </cell>
          <cell r="AH13">
            <v>4</v>
          </cell>
          <cell r="AI13" t="str">
            <v/>
          </cell>
          <cell r="AQ13">
            <v>5</v>
          </cell>
          <cell r="AR13">
            <v>46</v>
          </cell>
          <cell r="AS13" t="str">
            <v/>
          </cell>
          <cell r="AV13" t="str">
            <v>D</v>
          </cell>
          <cell r="BA13" t="str">
            <v>b</v>
          </cell>
          <cell r="BB13" t="str">
            <v/>
          </cell>
          <cell r="BJ13" t="str">
            <v>b</v>
          </cell>
          <cell r="BK13">
            <v>46</v>
          </cell>
          <cell r="BL13">
            <v>46</v>
          </cell>
        </row>
        <row r="14">
          <cell r="A14">
            <v>7</v>
          </cell>
          <cell r="B14">
            <v>6520</v>
          </cell>
          <cell r="C14" t="str">
            <v>KLANEČEK</v>
          </cell>
          <cell r="D14" t="str">
            <v>SAŠA</v>
          </cell>
          <cell r="E14" t="str">
            <v>ŽTKMB</v>
          </cell>
          <cell r="F14">
            <v>98</v>
          </cell>
          <cell r="G14" t="str">
            <v>pozna prijava</v>
          </cell>
          <cell r="J14">
            <v>25</v>
          </cell>
          <cell r="L14" t="str">
            <v>K</v>
          </cell>
          <cell r="N14">
            <v>20</v>
          </cell>
          <cell r="R14">
            <v>6951</v>
          </cell>
          <cell r="S14" t="str">
            <v>KRIVEC</v>
          </cell>
          <cell r="T14" t="str">
            <v>NINA</v>
          </cell>
          <cell r="U14" t="str">
            <v>ŽTKMB</v>
          </cell>
          <cell r="V14">
            <v>97</v>
          </cell>
          <cell r="Z14">
            <v>35</v>
          </cell>
          <cell r="AB14" t="str">
            <v>GT</v>
          </cell>
          <cell r="AD14">
            <v>20</v>
          </cell>
          <cell r="AH14">
            <v>4</v>
          </cell>
          <cell r="AI14" t="str">
            <v/>
          </cell>
          <cell r="AQ14">
            <v>4</v>
          </cell>
          <cell r="AR14">
            <v>60</v>
          </cell>
          <cell r="AS14" t="str">
            <v/>
          </cell>
          <cell r="AU14" t="str">
            <v>gt</v>
          </cell>
          <cell r="AV14" t="str">
            <v>D</v>
          </cell>
          <cell r="BA14" t="str">
            <v>b</v>
          </cell>
          <cell r="BB14" t="str">
            <v/>
          </cell>
          <cell r="BJ14" t="str">
            <v>b</v>
          </cell>
        </row>
        <row r="15">
          <cell r="A15">
            <v>8</v>
          </cell>
          <cell r="B15">
            <v>6819</v>
          </cell>
          <cell r="C15" t="str">
            <v>LAPAJNE</v>
          </cell>
          <cell r="D15" t="str">
            <v>ŽANA</v>
          </cell>
          <cell r="E15" t="str">
            <v>IDRIJ</v>
          </cell>
          <cell r="F15">
            <v>98</v>
          </cell>
          <cell r="J15">
            <v>32</v>
          </cell>
          <cell r="L15" t="str">
            <v>GT</v>
          </cell>
          <cell r="N15">
            <v>20</v>
          </cell>
          <cell r="R15">
            <v>6475</v>
          </cell>
          <cell r="S15" t="str">
            <v>HAUPTMAN</v>
          </cell>
          <cell r="T15" t="str">
            <v>VITA LUCIJA</v>
          </cell>
          <cell r="U15" t="str">
            <v>ŽTKMB</v>
          </cell>
          <cell r="V15">
            <v>97</v>
          </cell>
          <cell r="Z15">
            <v>31</v>
          </cell>
          <cell r="AB15" t="str">
            <v>GT</v>
          </cell>
          <cell r="AD15">
            <v>20</v>
          </cell>
          <cell r="AH15">
            <v>4</v>
          </cell>
          <cell r="AI15" t="str">
            <v/>
          </cell>
          <cell r="AQ15">
            <v>4</v>
          </cell>
          <cell r="AR15">
            <v>63</v>
          </cell>
          <cell r="AS15" t="str">
            <v/>
          </cell>
          <cell r="AU15" t="str">
            <v>gt</v>
          </cell>
          <cell r="AV15" t="str">
            <v>D</v>
          </cell>
          <cell r="BA15" t="str">
            <v>b</v>
          </cell>
          <cell r="BB15" t="str">
            <v/>
          </cell>
          <cell r="BJ15" t="str">
            <v>b</v>
          </cell>
        </row>
        <row r="16">
          <cell r="A16">
            <v>9</v>
          </cell>
          <cell r="B16">
            <v>6282</v>
          </cell>
          <cell r="C16" t="str">
            <v>KOŠNIK</v>
          </cell>
          <cell r="D16" t="str">
            <v>KARIN</v>
          </cell>
          <cell r="E16" t="str">
            <v>TR-KR</v>
          </cell>
          <cell r="F16">
            <v>95</v>
          </cell>
          <cell r="J16">
            <v>23</v>
          </cell>
          <cell r="L16" t="str">
            <v>GT</v>
          </cell>
          <cell r="N16">
            <v>20</v>
          </cell>
          <cell r="R16">
            <v>6527</v>
          </cell>
          <cell r="S16" t="str">
            <v>TOMIČ EGART</v>
          </cell>
          <cell r="T16" t="str">
            <v>ŽANA</v>
          </cell>
          <cell r="U16" t="str">
            <v>TR-KR</v>
          </cell>
          <cell r="V16">
            <v>96</v>
          </cell>
          <cell r="Z16">
            <v>47</v>
          </cell>
          <cell r="AB16" t="str">
            <v>GT</v>
          </cell>
          <cell r="AD16">
            <v>20</v>
          </cell>
          <cell r="AH16">
            <v>4</v>
          </cell>
          <cell r="AI16" t="str">
            <v/>
          </cell>
          <cell r="AQ16">
            <v>4</v>
          </cell>
          <cell r="AR16">
            <v>70</v>
          </cell>
          <cell r="AS16" t="str">
            <v/>
          </cell>
          <cell r="AV16" t="str">
            <v>D</v>
          </cell>
          <cell r="BA16" t="str">
            <v>b</v>
          </cell>
          <cell r="BB16" t="str">
            <v/>
          </cell>
          <cell r="BJ16" t="str">
            <v>b</v>
          </cell>
        </row>
        <row r="17">
          <cell r="A17">
            <v>10</v>
          </cell>
          <cell r="B17">
            <v>6278</v>
          </cell>
          <cell r="C17" t="str">
            <v>HRKAČ</v>
          </cell>
          <cell r="D17" t="str">
            <v>KRISTINA</v>
          </cell>
          <cell r="E17" t="str">
            <v>TR-KR</v>
          </cell>
          <cell r="F17">
            <v>96</v>
          </cell>
          <cell r="J17">
            <v>22</v>
          </cell>
          <cell r="L17" t="str">
            <v>GT</v>
          </cell>
          <cell r="N17">
            <v>20</v>
          </cell>
          <cell r="R17">
            <v>6854</v>
          </cell>
          <cell r="S17" t="str">
            <v>BURGER</v>
          </cell>
          <cell r="T17" t="str">
            <v>EVGENIJA</v>
          </cell>
          <cell r="U17" t="str">
            <v>OTOČE</v>
          </cell>
          <cell r="V17">
            <v>98</v>
          </cell>
          <cell r="Z17">
            <v>53</v>
          </cell>
          <cell r="AB17" t="str">
            <v>GT</v>
          </cell>
          <cell r="AD17">
            <v>10</v>
          </cell>
          <cell r="AH17">
            <v>4</v>
          </cell>
          <cell r="AI17" t="str">
            <v/>
          </cell>
          <cell r="AQ17">
            <v>4</v>
          </cell>
          <cell r="AR17">
            <v>75</v>
          </cell>
          <cell r="AS17" t="str">
            <v/>
          </cell>
          <cell r="AV17" t="str">
            <v>D</v>
          </cell>
          <cell r="BA17" t="str">
            <v>b</v>
          </cell>
          <cell r="BB17" t="str">
            <v/>
          </cell>
          <cell r="BJ17" t="str">
            <v>b</v>
          </cell>
        </row>
        <row r="18">
          <cell r="A18">
            <v>11</v>
          </cell>
          <cell r="B18">
            <v>6535</v>
          </cell>
          <cell r="C18" t="str">
            <v>MORI</v>
          </cell>
          <cell r="D18" t="str">
            <v>MAŠA</v>
          </cell>
          <cell r="E18" t="str">
            <v>PORTO</v>
          </cell>
          <cell r="F18">
            <v>95</v>
          </cell>
          <cell r="J18">
            <v>34</v>
          </cell>
          <cell r="L18" t="str">
            <v>V</v>
          </cell>
          <cell r="N18">
            <v>20</v>
          </cell>
          <cell r="R18">
            <v>5920</v>
          </cell>
          <cell r="S18" t="str">
            <v>FIŠER</v>
          </cell>
          <cell r="T18" t="str">
            <v>EVA</v>
          </cell>
          <cell r="U18" t="str">
            <v>KOPER</v>
          </cell>
          <cell r="V18">
            <v>95</v>
          </cell>
          <cell r="Z18">
            <v>58</v>
          </cell>
          <cell r="AB18" t="str">
            <v>K</v>
          </cell>
          <cell r="AD18">
            <v>10</v>
          </cell>
          <cell r="AH18">
            <v>4</v>
          </cell>
          <cell r="AI18" t="str">
            <v/>
          </cell>
          <cell r="AQ18">
            <v>4</v>
          </cell>
          <cell r="AR18">
            <v>92</v>
          </cell>
          <cell r="AS18" t="str">
            <v/>
          </cell>
          <cell r="AV18" t="str">
            <v>D</v>
          </cell>
          <cell r="BA18" t="str">
            <v>b</v>
          </cell>
          <cell r="BB18" t="str">
            <v/>
          </cell>
          <cell r="BJ18" t="str">
            <v>b</v>
          </cell>
        </row>
        <row r="19">
          <cell r="A19">
            <v>12</v>
          </cell>
          <cell r="B19">
            <v>6250</v>
          </cell>
          <cell r="C19" t="str">
            <v>MEJAK</v>
          </cell>
          <cell r="D19" t="str">
            <v>MOJCA</v>
          </cell>
          <cell r="E19" t="str">
            <v>KOPER</v>
          </cell>
          <cell r="F19">
            <v>97</v>
          </cell>
          <cell r="J19">
            <v>38</v>
          </cell>
          <cell r="L19" t="str">
            <v>GT</v>
          </cell>
          <cell r="N19">
            <v>20</v>
          </cell>
          <cell r="R19">
            <v>6681</v>
          </cell>
          <cell r="S19" t="str">
            <v>SEFIČ</v>
          </cell>
          <cell r="T19" t="str">
            <v>LAURA</v>
          </cell>
          <cell r="U19" t="str">
            <v>RADOV</v>
          </cell>
          <cell r="V19">
            <v>97</v>
          </cell>
          <cell r="Z19">
            <v>60</v>
          </cell>
          <cell r="AB19" t="str">
            <v>K</v>
          </cell>
          <cell r="AD19">
            <v>10</v>
          </cell>
          <cell r="AH19">
            <v>4</v>
          </cell>
          <cell r="AI19" t="str">
            <v/>
          </cell>
          <cell r="AQ19">
            <v>4</v>
          </cell>
          <cell r="AR19">
            <v>98</v>
          </cell>
          <cell r="AS19" t="str">
            <v/>
          </cell>
          <cell r="AV19" t="str">
            <v>D</v>
          </cell>
          <cell r="BA19" t="str">
            <v>b</v>
          </cell>
          <cell r="BB19" t="str">
            <v/>
          </cell>
          <cell r="BJ19" t="str">
            <v>b</v>
          </cell>
        </row>
        <row r="20">
          <cell r="A20">
            <v>13</v>
          </cell>
          <cell r="AH20" t="str">
            <v/>
          </cell>
          <cell r="AI20" t="str">
            <v/>
          </cell>
          <cell r="AQ20" t="str">
            <v/>
          </cell>
          <cell r="AR20" t="str">
            <v/>
          </cell>
          <cell r="AS20" t="str">
            <v/>
          </cell>
          <cell r="BA20" t="str">
            <v/>
          </cell>
          <cell r="BB20" t="str">
            <v/>
          </cell>
          <cell r="BJ20" t="str">
            <v/>
          </cell>
        </row>
        <row r="21">
          <cell r="A21">
            <v>14</v>
          </cell>
          <cell r="AH21" t="str">
            <v/>
          </cell>
          <cell r="AI21" t="str">
            <v/>
          </cell>
          <cell r="AQ21" t="str">
            <v/>
          </cell>
          <cell r="AR21" t="str">
            <v/>
          </cell>
          <cell r="AS21" t="str">
            <v/>
          </cell>
          <cell r="BA21" t="str">
            <v/>
          </cell>
          <cell r="BB21" t="str">
            <v/>
          </cell>
          <cell r="BJ21" t="str">
            <v/>
          </cell>
        </row>
        <row r="22">
          <cell r="A22">
            <v>15</v>
          </cell>
          <cell r="AH22" t="str">
            <v/>
          </cell>
          <cell r="AI22" t="str">
            <v/>
          </cell>
          <cell r="AQ22" t="str">
            <v/>
          </cell>
          <cell r="AR22" t="str">
            <v/>
          </cell>
          <cell r="AS22" t="str">
            <v/>
          </cell>
          <cell r="BA22" t="str">
            <v/>
          </cell>
          <cell r="BB22" t="str">
            <v/>
          </cell>
          <cell r="BJ22" t="str">
            <v/>
          </cell>
        </row>
        <row r="23">
          <cell r="A23">
            <v>16</v>
          </cell>
          <cell r="AH23" t="str">
            <v/>
          </cell>
          <cell r="AI23" t="str">
            <v/>
          </cell>
          <cell r="AQ23" t="str">
            <v/>
          </cell>
          <cell r="AR23" t="str">
            <v/>
          </cell>
          <cell r="AS23" t="str">
            <v/>
          </cell>
          <cell r="BA23" t="str">
            <v/>
          </cell>
          <cell r="BB23" t="str">
            <v/>
          </cell>
          <cell r="BJ23" t="str">
            <v/>
          </cell>
        </row>
        <row r="24">
          <cell r="A24">
            <v>17</v>
          </cell>
          <cell r="AH24" t="str">
            <v/>
          </cell>
          <cell r="AI24" t="str">
            <v/>
          </cell>
          <cell r="AQ24" t="str">
            <v/>
          </cell>
          <cell r="AR24" t="str">
            <v/>
          </cell>
          <cell r="BA24" t="str">
            <v/>
          </cell>
          <cell r="BB24" t="str">
            <v/>
          </cell>
        </row>
        <row r="25">
          <cell r="A25">
            <v>18</v>
          </cell>
          <cell r="AH25" t="str">
            <v/>
          </cell>
          <cell r="AI25" t="str">
            <v/>
          </cell>
          <cell r="AQ25" t="str">
            <v/>
          </cell>
          <cell r="AR25" t="str">
            <v/>
          </cell>
          <cell r="BA25" t="str">
            <v/>
          </cell>
          <cell r="BB25" t="str">
            <v/>
          </cell>
        </row>
        <row r="26">
          <cell r="A26">
            <v>19</v>
          </cell>
          <cell r="AH26" t="str">
            <v/>
          </cell>
          <cell r="AI26" t="str">
            <v/>
          </cell>
          <cell r="AQ26" t="str">
            <v/>
          </cell>
          <cell r="AR26" t="str">
            <v/>
          </cell>
          <cell r="BA26" t="str">
            <v/>
          </cell>
          <cell r="BB26" t="str">
            <v/>
          </cell>
        </row>
        <row r="27">
          <cell r="A27">
            <v>20</v>
          </cell>
          <cell r="AH27" t="str">
            <v/>
          </cell>
          <cell r="AI27" t="str">
            <v/>
          </cell>
          <cell r="AQ27" t="str">
            <v/>
          </cell>
          <cell r="AR27" t="str">
            <v/>
          </cell>
          <cell r="BA27" t="str">
            <v/>
          </cell>
          <cell r="BB27" t="str">
            <v/>
          </cell>
        </row>
        <row r="28">
          <cell r="A28">
            <v>21</v>
          </cell>
          <cell r="AH28" t="str">
            <v/>
          </cell>
          <cell r="AI28" t="str">
            <v/>
          </cell>
          <cell r="AQ28" t="str">
            <v/>
          </cell>
          <cell r="AR28" t="str">
            <v/>
          </cell>
          <cell r="BA28" t="str">
            <v/>
          </cell>
          <cell r="BB28" t="str">
            <v/>
          </cell>
        </row>
        <row r="29">
          <cell r="A29">
            <v>22</v>
          </cell>
          <cell r="AH29" t="str">
            <v/>
          </cell>
          <cell r="AI29" t="str">
            <v/>
          </cell>
          <cell r="AQ29" t="str">
            <v/>
          </cell>
          <cell r="AR29" t="str">
            <v/>
          </cell>
          <cell r="BA29" t="str">
            <v/>
          </cell>
          <cell r="BB29" t="str">
            <v/>
          </cell>
        </row>
        <row r="30">
          <cell r="A30">
            <v>23</v>
          </cell>
          <cell r="AH30" t="str">
            <v/>
          </cell>
          <cell r="AI30" t="str">
            <v/>
          </cell>
          <cell r="AQ30" t="str">
            <v/>
          </cell>
          <cell r="AR30" t="str">
            <v/>
          </cell>
          <cell r="BA30" t="str">
            <v/>
          </cell>
          <cell r="BB30" t="str">
            <v/>
          </cell>
        </row>
        <row r="31">
          <cell r="A31">
            <v>24</v>
          </cell>
          <cell r="AH31" t="str">
            <v/>
          </cell>
          <cell r="AI31" t="str">
            <v/>
          </cell>
          <cell r="AQ31" t="str">
            <v/>
          </cell>
          <cell r="AR31" t="str">
            <v/>
          </cell>
          <cell r="BA31" t="str">
            <v/>
          </cell>
          <cell r="BB31" t="str">
            <v/>
          </cell>
        </row>
        <row r="32">
          <cell r="AH32" t="str">
            <v/>
          </cell>
          <cell r="AI32" t="str">
            <v/>
          </cell>
          <cell r="AR32" t="str">
            <v/>
          </cell>
          <cell r="BA32" t="str">
            <v/>
          </cell>
          <cell r="BB32" t="str">
            <v/>
          </cell>
        </row>
        <row r="33">
          <cell r="AH33" t="str">
            <v/>
          </cell>
          <cell r="AI33" t="str">
            <v/>
          </cell>
          <cell r="AR33" t="str">
            <v/>
          </cell>
        </row>
        <row r="34">
          <cell r="AH34" t="str">
            <v/>
          </cell>
          <cell r="AI34" t="str">
            <v/>
          </cell>
          <cell r="AR34" t="str">
            <v/>
          </cell>
        </row>
        <row r="35">
          <cell r="AH35" t="str">
            <v/>
          </cell>
          <cell r="AI35" t="str">
            <v/>
          </cell>
          <cell r="AR35" t="str">
            <v/>
          </cell>
        </row>
        <row r="36">
          <cell r="AH36" t="str">
            <v/>
          </cell>
          <cell r="AI36" t="str">
            <v/>
          </cell>
          <cell r="AR36" t="str">
            <v/>
          </cell>
        </row>
        <row r="37">
          <cell r="AH37" t="str">
            <v/>
          </cell>
          <cell r="AI37" t="str">
            <v/>
          </cell>
          <cell r="AR37" t="str">
            <v/>
          </cell>
        </row>
        <row r="38">
          <cell r="AH38" t="str">
            <v/>
          </cell>
          <cell r="AI38" t="str">
            <v/>
          </cell>
          <cell r="AR3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J79"/>
  <sheetViews>
    <sheetView showGridLines="0" showZeros="0" tabSelected="1" zoomScalePageLayoutView="0" workbookViewId="0" topLeftCell="A1">
      <selection activeCell="P43" sqref="P43"/>
    </sheetView>
  </sheetViews>
  <sheetFormatPr defaultColWidth="9.140625" defaultRowHeight="12.75"/>
  <cols>
    <col min="1" max="1" width="3.140625" style="0" customWidth="1"/>
    <col min="2" max="2" width="3.5742187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2.7109375" style="204" customWidth="1"/>
    <col min="10" max="10" width="10.7109375" style="0" customWidth="1"/>
    <col min="11" max="11" width="2.421875" style="204" customWidth="1"/>
    <col min="12" max="12" width="10.7109375" style="0" customWidth="1"/>
    <col min="13" max="13" width="1.7109375" style="203" customWidth="1"/>
    <col min="14" max="14" width="10.7109375" style="0" customWidth="1"/>
    <col min="15" max="15" width="1.7109375" style="204" customWidth="1"/>
    <col min="16" max="16" width="10.7109375" style="0" customWidth="1"/>
    <col min="17" max="17" width="3.421875" style="203" customWidth="1"/>
    <col min="18" max="18" width="7.8515625" style="0" customWidth="1"/>
    <col min="19" max="19" width="0.71875" style="0" hidden="1" customWidth="1"/>
    <col min="20" max="20" width="4.7109375" style="0" hidden="1" customWidth="1"/>
    <col min="21" max="21" width="7.7109375" style="306" customWidth="1"/>
    <col min="22" max="22" width="4.140625" style="380" customWidth="1"/>
    <col min="23" max="30" width="9.140625" style="380" customWidth="1"/>
    <col min="31" max="31" width="9.8515625" style="380" customWidth="1"/>
    <col min="32" max="32" width="9.140625" style="381" customWidth="1"/>
    <col min="33" max="33" width="14.57421875" style="380" customWidth="1"/>
    <col min="34" max="34" width="10.8515625" style="380" customWidth="1"/>
    <col min="35" max="35" width="9.140625" style="380" customWidth="1"/>
    <col min="36" max="36" width="9.57421875" style="380" customWidth="1"/>
  </cols>
  <sheetData>
    <row r="1" spans="1:36" s="9" customFormat="1" ht="21.75" customHeight="1">
      <c r="A1" s="296" t="s">
        <v>169</v>
      </c>
      <c r="B1" s="2"/>
      <c r="C1" s="3"/>
      <c r="D1" s="3"/>
      <c r="E1" s="3"/>
      <c r="F1" s="3"/>
      <c r="G1" s="3"/>
      <c r="H1" s="296"/>
      <c r="I1" s="8"/>
      <c r="J1" s="205" t="s">
        <v>88</v>
      </c>
      <c r="K1" s="301"/>
      <c r="L1" s="7"/>
      <c r="M1" s="8"/>
      <c r="N1" s="8" t="s">
        <v>1</v>
      </c>
      <c r="O1" s="8"/>
      <c r="P1" s="3"/>
      <c r="Q1" s="8"/>
      <c r="U1" s="302"/>
      <c r="V1" s="303" t="str">
        <f>'[1]vnos podatkov'!$A$6</f>
        <v>OP 16 TK PORTOROŽ</v>
      </c>
      <c r="W1" s="304"/>
      <c r="X1" s="304"/>
      <c r="Y1" s="304"/>
      <c r="Z1" s="304"/>
      <c r="AA1" s="304"/>
      <c r="AB1" s="304"/>
      <c r="AC1" s="304"/>
      <c r="AD1" s="304"/>
      <c r="AE1" s="304"/>
      <c r="AF1" s="305"/>
      <c r="AG1" s="304"/>
      <c r="AH1" s="304"/>
      <c r="AI1" s="304"/>
      <c r="AJ1" s="304"/>
    </row>
    <row r="2" spans="1:36" ht="12.75">
      <c r="A2" s="13">
        <f>'[1]vnos podatkov'!$A$8</f>
        <v>16</v>
      </c>
      <c r="B2" s="14" t="str">
        <f>'[1]vnos podatkov'!$B$8</f>
        <v>mž</v>
      </c>
      <c r="C2" s="15" t="str">
        <f>'[1]vnos podatkov'!$C$8</f>
        <v>A turnir</v>
      </c>
      <c r="D2" s="14"/>
      <c r="E2" s="14"/>
      <c r="F2" s="16"/>
      <c r="G2" s="17"/>
      <c r="H2" s="17"/>
      <c r="I2" s="18"/>
      <c r="J2" s="226" t="s">
        <v>2</v>
      </c>
      <c r="K2" s="301"/>
      <c r="L2" s="6"/>
      <c r="M2" s="18"/>
      <c r="N2" s="17"/>
      <c r="O2" s="18"/>
      <c r="P2" s="17"/>
      <c r="Q2" s="18"/>
      <c r="R2" s="19"/>
      <c r="S2" s="19"/>
      <c r="T2" s="19"/>
      <c r="V2" s="307">
        <f>'[1]vnos podatkov'!$A$8</f>
        <v>16</v>
      </c>
      <c r="W2" s="308" t="str">
        <f>'[1]vnos podatkov'!$B$8</f>
        <v>mž</v>
      </c>
      <c r="X2" s="308" t="str">
        <f>'[1]vnos podatkov'!$C$8</f>
        <v>A turnir</v>
      </c>
      <c r="Y2" s="309" t="str">
        <f>'[1]vnos podatkov'!$A$10</f>
        <v>20./22.7.2011</v>
      </c>
      <c r="Z2" s="310"/>
      <c r="AA2" s="310"/>
      <c r="AB2" s="310"/>
      <c r="AC2" s="310"/>
      <c r="AD2" s="310"/>
      <c r="AE2" s="310"/>
      <c r="AF2" s="311"/>
      <c r="AG2" s="310"/>
      <c r="AH2" s="310"/>
      <c r="AI2" s="310"/>
      <c r="AJ2" s="310"/>
    </row>
    <row r="3" spans="1:36" s="29" customFormat="1" ht="11.25" customHeight="1">
      <c r="A3" s="25" t="s">
        <v>3</v>
      </c>
      <c r="B3" s="25"/>
      <c r="C3" s="25"/>
      <c r="D3" s="231" t="s">
        <v>4</v>
      </c>
      <c r="E3" s="25"/>
      <c r="F3" s="411" t="s">
        <v>5</v>
      </c>
      <c r="G3" s="411"/>
      <c r="H3" s="25"/>
      <c r="I3" s="312"/>
      <c r="J3" s="26" t="s">
        <v>6</v>
      </c>
      <c r="K3" s="312"/>
      <c r="L3" s="25" t="s">
        <v>7</v>
      </c>
      <c r="M3" s="312"/>
      <c r="N3" s="26" t="s">
        <v>89</v>
      </c>
      <c r="O3" s="312"/>
      <c r="P3" s="25"/>
      <c r="Q3" s="313" t="s">
        <v>9</v>
      </c>
      <c r="U3" s="314"/>
      <c r="V3" s="315" t="s">
        <v>90</v>
      </c>
      <c r="W3" s="316"/>
      <c r="X3" s="316"/>
      <c r="Y3" s="317"/>
      <c r="Z3" s="318"/>
      <c r="AA3" s="318"/>
      <c r="AB3" s="318"/>
      <c r="AC3" s="318"/>
      <c r="AD3" s="318"/>
      <c r="AE3" s="319"/>
      <c r="AF3" s="320"/>
      <c r="AG3" s="321"/>
      <c r="AH3" s="321"/>
      <c r="AI3" s="321"/>
      <c r="AJ3" s="321"/>
    </row>
    <row r="4" spans="1:36" s="45" customFormat="1" ht="11.25" customHeight="1" thickBot="1">
      <c r="A4" s="39" t="str">
        <f>'[1]vnos podatkov'!$D$8</f>
        <v>OP</v>
      </c>
      <c r="B4" s="39"/>
      <c r="C4" s="39"/>
      <c r="D4" s="39" t="str">
        <f>'[1]vnos podatkov'!$A$10</f>
        <v>20./22.7.2011</v>
      </c>
      <c r="E4" s="40"/>
      <c r="F4" s="322" t="str">
        <f>'[1]vnos podatkov'!$C$10</f>
        <v>TK Portorož</v>
      </c>
      <c r="G4" s="322"/>
      <c r="H4" s="322"/>
      <c r="I4" s="297"/>
      <c r="J4" s="41">
        <f>'[1]vnos podatkov'!$D$10</f>
        <v>2</v>
      </c>
      <c r="K4" s="297"/>
      <c r="L4" s="42" t="str">
        <f>'[1]vnos podatkov'!$B$10</f>
        <v>Mladen Sredojevič</v>
      </c>
      <c r="M4" s="297"/>
      <c r="N4" s="43">
        <f>COUNTIF(C7:C69,"&gt;0")</f>
        <v>32</v>
      </c>
      <c r="O4" s="297"/>
      <c r="P4" s="40"/>
      <c r="Q4" s="44" t="str">
        <f>'[1]vnos podatkov'!$E$10</f>
        <v>Anja Regent</v>
      </c>
      <c r="U4" s="323"/>
      <c r="V4" s="324"/>
      <c r="W4" s="324"/>
      <c r="X4" s="324"/>
      <c r="Y4" s="325"/>
      <c r="Z4" s="325"/>
      <c r="AA4" s="325"/>
      <c r="AB4" s="325"/>
      <c r="AC4" s="325"/>
      <c r="AD4" s="325"/>
      <c r="AE4" s="325"/>
      <c r="AF4" s="326"/>
      <c r="AG4" s="324"/>
      <c r="AH4" s="324"/>
      <c r="AI4" s="324"/>
      <c r="AJ4" s="324"/>
    </row>
    <row r="5" spans="1:36" s="29" customFormat="1" ht="12.75">
      <c r="A5" s="50"/>
      <c r="B5" s="51" t="s">
        <v>11</v>
      </c>
      <c r="C5" s="51" t="s">
        <v>12</v>
      </c>
      <c r="D5" s="51" t="s">
        <v>13</v>
      </c>
      <c r="E5" s="52" t="s">
        <v>14</v>
      </c>
      <c r="F5" s="52" t="s">
        <v>15</v>
      </c>
      <c r="G5" s="52"/>
      <c r="H5" s="52" t="s">
        <v>5</v>
      </c>
      <c r="I5" s="327"/>
      <c r="J5" s="51" t="s">
        <v>62</v>
      </c>
      <c r="K5" s="53"/>
      <c r="L5" s="51" t="s">
        <v>91</v>
      </c>
      <c r="M5" s="53"/>
      <c r="N5" s="51" t="s">
        <v>73</v>
      </c>
      <c r="O5" s="53"/>
      <c r="P5" s="51" t="s">
        <v>16</v>
      </c>
      <c r="Q5" s="54"/>
      <c r="U5" s="314" t="s">
        <v>12</v>
      </c>
      <c r="V5" s="328" t="s">
        <v>18</v>
      </c>
      <c r="W5" s="147" t="s">
        <v>14</v>
      </c>
      <c r="X5" s="147" t="s">
        <v>15</v>
      </c>
      <c r="Y5" s="329" t="s">
        <v>19</v>
      </c>
      <c r="Z5" s="329" t="s">
        <v>92</v>
      </c>
      <c r="AA5" s="329" t="s">
        <v>91</v>
      </c>
      <c r="AB5" s="329" t="s">
        <v>73</v>
      </c>
      <c r="AC5" s="329" t="s">
        <v>32</v>
      </c>
      <c r="AD5" s="329" t="s">
        <v>93</v>
      </c>
      <c r="AE5" s="330" t="s">
        <v>22</v>
      </c>
      <c r="AF5" s="320"/>
      <c r="AG5" s="321"/>
      <c r="AH5" s="321"/>
      <c r="AI5" s="321"/>
      <c r="AJ5" s="321"/>
    </row>
    <row r="6" spans="1:36" s="29" customFormat="1" ht="3.75" customHeight="1" thickBot="1">
      <c r="A6" s="60"/>
      <c r="B6" s="61"/>
      <c r="C6" s="37"/>
      <c r="D6" s="61"/>
      <c r="E6" s="62"/>
      <c r="F6" s="331"/>
      <c r="G6" s="63"/>
      <c r="H6" s="62"/>
      <c r="I6" s="64"/>
      <c r="J6" s="61"/>
      <c r="K6" s="64"/>
      <c r="L6" s="61"/>
      <c r="M6" s="64"/>
      <c r="N6" s="61"/>
      <c r="O6" s="64"/>
      <c r="P6" s="61"/>
      <c r="Q6" s="65"/>
      <c r="U6" s="314"/>
      <c r="V6" s="332"/>
      <c r="W6" s="333"/>
      <c r="X6" s="333"/>
      <c r="Y6" s="334"/>
      <c r="Z6" s="334"/>
      <c r="AA6" s="334"/>
      <c r="AB6" s="334"/>
      <c r="AC6" s="334"/>
      <c r="AD6" s="334"/>
      <c r="AE6" s="335"/>
      <c r="AF6" s="320"/>
      <c r="AG6" s="321"/>
      <c r="AH6" s="321"/>
      <c r="AI6" s="321"/>
      <c r="AJ6" s="321"/>
    </row>
    <row r="7" spans="1:36" s="83" customFormat="1" ht="10.5" customHeight="1">
      <c r="A7" s="72">
        <v>1</v>
      </c>
      <c r="B7" s="73" t="str">
        <f>IF($D7="","",VLOOKUP($D7,'[1]m glavni turnir žrebna lista'!$A$7:$R$38,17))</f>
        <v>D</v>
      </c>
      <c r="C7" s="73">
        <f>IF($D7="","",VLOOKUP($D7,'[1]m glavni turnir žrebna lista'!$A$7:$R$38,2))</f>
        <v>5971</v>
      </c>
      <c r="D7" s="74">
        <v>1</v>
      </c>
      <c r="E7" s="73" t="str">
        <f>UPPER(IF($D7="","",VLOOKUP($D7,'[1]m glavni turnir žrebna lista'!$A$7:$R$38,3)))</f>
        <v>GORŠIČ</v>
      </c>
      <c r="F7" s="73" t="str">
        <f>PROPER(IF($D7="","",VLOOKUP($D7,'[1]m glavni turnir žrebna lista'!$A$7:$R$38,4)))</f>
        <v>Sebastijan</v>
      </c>
      <c r="G7" s="73"/>
      <c r="H7" s="73" t="str">
        <f>IF($D7="","",VLOOKUP($D7,'[1]m glavni turnir žrebna lista'!$A$7:$R$38,5))</f>
        <v>SL-LJ</v>
      </c>
      <c r="I7" s="75">
        <f>IF($D7="","",VLOOKUP($D7,'[1]m glavni turnir žrebna lista'!$A$7:$R$38,14))</f>
        <v>70</v>
      </c>
      <c r="J7" s="76"/>
      <c r="K7" s="119"/>
      <c r="L7" s="76"/>
      <c r="M7" s="119"/>
      <c r="N7" s="78"/>
      <c r="O7" s="79"/>
      <c r="P7" s="80"/>
      <c r="Q7" s="81"/>
      <c r="R7" s="82"/>
      <c r="T7" s="84" t="str">
        <f>'[1]glavni sodniki'!P21</f>
        <v>Sodnik</v>
      </c>
      <c r="U7" s="314">
        <f>IF($D7="","",VLOOKUP($D7,'[1]m glavni turnir žrebna lista'!$A$7:$R$38,2))</f>
        <v>5971</v>
      </c>
      <c r="V7" s="147">
        <v>1</v>
      </c>
      <c r="W7" s="147" t="str">
        <f>UPPER(IF($D7="","",VLOOKUP($D7,'[1]m glavni turnir žrebna lista'!$A$7:$R$38,3)))</f>
        <v>GORŠIČ</v>
      </c>
      <c r="X7" s="147" t="str">
        <f>PROPER(IF($D7="","",VLOOKUP($D7,'[1]m glavni turnir žrebna lista'!$A$7:$R$38,4)))</f>
        <v>Sebastijan</v>
      </c>
      <c r="Y7" s="336">
        <f aca="true" t="shared" si="0" ref="Y7:Y38">IF(W7="","",IF($Q$63=1,30,IF($Q$63=2,15,IF($Q$63=3,10,""))))</f>
        <v>15</v>
      </c>
      <c r="Z7" s="329">
        <f>IF(Y7="","",IF(AND($Q$63=1,$U$8=$U$7),30,IF(AND($Q$63=2,$U$8=$U$7),15,IF(AND($Q$63=3,$U$8=$U$7),10,""))))</f>
        <v>15</v>
      </c>
      <c r="AA7" s="329">
        <f>IF(Z7="","",IF(AND($Q$63=1,$U$8=$U$10,$U$10=$U$7),60,IF(AND($Q$63=2,$U$8=$U$10,$U$10=$U$7),30,IF(AND($Q$63=3,$U$8=$U$10,$U$10=$U$7),20,""))))</f>
        <v>30</v>
      </c>
      <c r="AB7" s="329">
        <f>IF(AA7="","",IF(AND($Q$63=1,$U$8=$U$10,$U$10=$U$7,$U$10=$U$14),120,IF(AND($Q$63=2,$U$8=$U$10,$U$10=$U$7,$U$10=$U$14),60,IF(AND($Q$63=3,$U$8=$U$10,$U$10=$U$7,$U$10=$U$14),40,""))))</f>
        <v>60</v>
      </c>
      <c r="AC7" s="329">
        <f>IF(AB7="","",IF(AND($Q$63=1,$U$8=$U$10,$U$10=$U$7,$U$10=$U$14,$U$22=$U$14),120,IF(AND($Q$63=2,$U$8=$U$10,$U$10=$U$7,$U$10=$U$14,$U$22=$U$14),60,IF(AND($Q$63=3,$U$8=$U$10,$U$10=$U$7,$U$10=$U$14,$U$22=$U$14),40,""))))</f>
        <v>60</v>
      </c>
      <c r="AD7" s="329">
        <f>IF(AC7="","",IF(AND($Q$63=1,$U$8=$U$10,$U$10=$U$7,$U$10=$U$14,$U$22=$U$14,$U$38=$U$22),120,IF(AND($Q$63=2,$U$8=$U$10,$U$10=$U$7,$U$10=$U$14,$U$22=$U$14,$U$38=$U$22),60,IF(AND($Q$63=3,$U$8=$U$10,$U$10=$U$7,$U$10=$U$14,$U$22=$U$14,$U$38=$U$22),40,""))))</f>
      </c>
      <c r="AE7" s="337">
        <f aca="true" t="shared" si="1" ref="AE7:AE38">IF($C$2="B turnir",SUM(Y7:AD7)*0.1,SUM(Y7:AD7))</f>
        <v>180</v>
      </c>
      <c r="AF7" s="320"/>
      <c r="AG7" s="338"/>
      <c r="AH7" s="338"/>
      <c r="AI7" s="338"/>
      <c r="AJ7" s="338"/>
    </row>
    <row r="8" spans="1:36" s="83" customFormat="1" ht="9" customHeight="1">
      <c r="A8" s="89"/>
      <c r="B8" s="90"/>
      <c r="C8" s="90"/>
      <c r="D8" s="90"/>
      <c r="E8" s="91"/>
      <c r="F8" s="91"/>
      <c r="G8" s="92"/>
      <c r="H8" s="93" t="s">
        <v>23</v>
      </c>
      <c r="I8" s="94" t="s">
        <v>24</v>
      </c>
      <c r="J8" s="95" t="str">
        <f>UPPER(IF(OR(I8="a",I8="as"),E7,IF(OR(I8="b",I8="bs"),E9,)))</f>
        <v>GORŠIČ</v>
      </c>
      <c r="K8" s="96">
        <f>IF(OR(I8="a",I8="as"),I7,IF(OR(I8="b",I8="bs"),I9,))</f>
        <v>70</v>
      </c>
      <c r="L8" s="76"/>
      <c r="M8" s="119"/>
      <c r="N8" s="78"/>
      <c r="O8" s="79"/>
      <c r="P8" s="80"/>
      <c r="Q8" s="81"/>
      <c r="R8" s="82"/>
      <c r="T8" s="97" t="str">
        <f>'[1]glavni sodniki'!P22</f>
        <v> </v>
      </c>
      <c r="U8" s="314">
        <f>IF(OR(I8="a",I8="as"),C7,IF(OR(I8="b",I8="bs"),C9,""))</f>
        <v>5971</v>
      </c>
      <c r="V8" s="147">
        <v>2</v>
      </c>
      <c r="W8" s="339" t="str">
        <f>UPPER(IF($D9="","",VLOOKUP($D9,'[1]m glavni turnir žrebna lista'!$A$7:$R$38,3)))</f>
        <v>DROBNIČ</v>
      </c>
      <c r="X8" s="339" t="str">
        <f>PROPER(IF($D9="","",VLOOKUP($D9,'[1]m glavni turnir žrebna lista'!$A$7:$R$38,4)))</f>
        <v>Žiga</v>
      </c>
      <c r="Y8" s="340">
        <f t="shared" si="0"/>
        <v>15</v>
      </c>
      <c r="Z8" s="340">
        <f>IF(Y8="","",IF(AND($Q$63=1,U9=$U$8),30,IF(AND($Q$63=2,U9=$U$8),15,IF(AND($Q$63=3,U9=$U$8),10,""))))</f>
      </c>
      <c r="AA8" s="340">
        <f>IF(Z8="","",IF(AND($Q$63=1,U9=$U$10,$U$10=$U$8),60,IF(AND($Q$63=2,U9=$U$10,$U$10=$U$8),30,IF(AND($Q$63=3,U9=$U$10,$U$10=$U$8),20,""))))</f>
      </c>
      <c r="AB8" s="340">
        <f>IF(AA8="","",IF(AND($Q$63=1,$U$8=U9,$U$8=$U$10,$U$10=$U$14),120,IF(AND($Q$63=2,$U$8=U9,$U$8=$U$10,$U$10=$U$14),60,IF(AND($Q$63=3,$U$8=U9,$U$8=$U$10,$U$10=$U$14),40,""))))</f>
      </c>
      <c r="AC8" s="340">
        <f>IF(AB8="","",IF(AND($Q$63=1,$U$8=$U$10,$U$10=$U$9,$U$10=$U$14,$U$22=$U$14),120,IF(AND($Q$63=2,$U$8=$U$10,$U$10=$U$9,$U$10=$U$14,$U$22=$U$14),60,IF(AND($Q$63=3,$U$8=$U$10,$U$10=$U$9,$U$10=$U$14,$U$22=$U$14),40,""))))</f>
      </c>
      <c r="AD8" s="340">
        <f>IF(AC8="","",IF(AND($Q$63=1,$U$8=$U$10,$U$10=$U$9,$U$10=$U$14,$U$22=$U$14,$U$38=$U$22),120,IF(AND($Q$63=2,$U$8=$U$10,$U$10=$U$9,$U$10=$U$14,$U$22=$U$14,$U$38=$U$22),60,IF(AND($Q$63=3,$U$8=$U$10,$U$10=$U$9,$U$10=$U$14,$U$22=$U$14,$U$38=$U$22),40,""))))</f>
      </c>
      <c r="AE8" s="341">
        <f t="shared" si="1"/>
        <v>15</v>
      </c>
      <c r="AF8" s="320"/>
      <c r="AG8" s="338"/>
      <c r="AH8" s="338"/>
      <c r="AI8" s="338"/>
      <c r="AJ8" s="338"/>
    </row>
    <row r="9" spans="1:36" s="83" customFormat="1" ht="9" customHeight="1">
      <c r="A9" s="89">
        <v>2</v>
      </c>
      <c r="B9" s="103" t="str">
        <f>IF($D9="","",VLOOKUP($D9,'[1]m glavni turnir žrebna lista'!$A$7:$R$38,17))</f>
        <v>K</v>
      </c>
      <c r="C9" s="103">
        <f>IF($D9="","",VLOOKUP($D9,'[1]m glavni turnir žrebna lista'!$A$7:$R$38,2))</f>
        <v>6564</v>
      </c>
      <c r="D9" s="74">
        <v>27</v>
      </c>
      <c r="E9" s="104" t="str">
        <f>UPPER(IF($D9="","",VLOOKUP($D9,'[1]m glavni turnir žrebna lista'!$A$7:$R$38,3)))</f>
        <v>DROBNIČ</v>
      </c>
      <c r="F9" s="104" t="str">
        <f>PROPER(IF($D9="","",VLOOKUP($D9,'[1]m glavni turnir žrebna lista'!$A$7:$R$38,4)))</f>
        <v>Žiga</v>
      </c>
      <c r="G9" s="104"/>
      <c r="H9" s="104" t="str">
        <f>IF($D9="","",VLOOKUP($D9,'[1]m glavni turnir žrebna lista'!$A$7:$R$38,5))</f>
        <v>ZKLUB</v>
      </c>
      <c r="I9" s="105">
        <f>IF($D9="","",VLOOKUP($D9,'[1]m glavni turnir žrebna lista'!$A$7:$R$38,14))</f>
        <v>10</v>
      </c>
      <c r="J9" s="259" t="s">
        <v>94</v>
      </c>
      <c r="K9" s="107"/>
      <c r="L9" s="76"/>
      <c r="M9" s="119"/>
      <c r="N9" s="78"/>
      <c r="O9" s="79"/>
      <c r="P9" s="80"/>
      <c r="Q9" s="81"/>
      <c r="R9" s="82"/>
      <c r="T9" s="97" t="str">
        <f>'[1]glavni sodniki'!P23</f>
        <v> </v>
      </c>
      <c r="U9" s="314">
        <f>IF($D9="","",VLOOKUP($D9,'[1]m glavni turnir žrebna lista'!$A$7:$R$38,2))</f>
        <v>6564</v>
      </c>
      <c r="V9" s="147">
        <v>3</v>
      </c>
      <c r="W9" s="147" t="str">
        <f>UPPER(IF($D11="","",VLOOKUP($D11,'[1]m glavni turnir žrebna lista'!$A$7:$R$38,3)))</f>
        <v>KAPLJA</v>
      </c>
      <c r="X9" s="147" t="str">
        <f>PROPER(IF($D11="","",VLOOKUP($D11,'[1]m glavni turnir žrebna lista'!$A$7:$R$38,4)))</f>
        <v>Aljaž Jakob</v>
      </c>
      <c r="Y9" s="329">
        <f t="shared" si="0"/>
        <v>15</v>
      </c>
      <c r="Z9" s="329">
        <f>IF(Y9="","",IF(AND($Q$63=1,U11=U12),30,IF(AND($Q$63=2,U11=U12),15,IF(AND($Q$63=3,U11=U12),10,""))))</f>
      </c>
      <c r="AA9" s="329">
        <f>IF(Z9="","",IF(AND($Q$63=1,$U$10=U11,U11=U12),60,IF(AND($Q$63=2,$U$10=U11,U11=U12),30,IF(AND($Q$63=3,$U$10=U11,U11=U12),20,""))))</f>
      </c>
      <c r="AB9" s="329">
        <f>IF(AA9="","",IF(AND($Q$63=1,$U$14=$U$10,$U$10=U12,U11=U12),120,IF(AND($Q$63=2,$U$10=$U$14,$U$10=U12,U12=U11),60,IF(AND($Q$63=3,$U$10=$U$14,$U$10=U12,U12=U11),40,""))))</f>
      </c>
      <c r="AC9" s="329">
        <f>IF(AB9="","",IF(AND($Q$63=1,$U$11=$U$12,$U$10=$U$12,$U$10=$U$14,$U$22=$U$14),120,IF(AND($Q$63=2,$U$11=$U$12,$U$12=$U$10,$U$10=$U$14,$U$22=$U$14),60,IF(AND($Q$63=3,$U$11=$U$12,$U$12=$U$10,$U$10=$U$14,$U$22=$U$14),40,""))))</f>
      </c>
      <c r="AD9" s="329">
        <f>IF(AC9="","",IF(AND($Q$63=1,$U$11=$U$12,$U$10=$U$12,$U$10=$U$14,$U$22=$U$14,$U$38=$U$22),120,IF(AND($Q$63=2,$U$11=$U$12,$U$12=$U$10,$U$10=$U$14,$U$22=$U$14,$U$38=$U$22),60,IF(AND($Q$63=3,$U$11=$U$12,$U$12=$U$10,$U$10=$U$14,$U$22=$U$14,$U$38=$U$22),40,""))))</f>
      </c>
      <c r="AE9" s="337">
        <f t="shared" si="1"/>
        <v>15</v>
      </c>
      <c r="AF9" s="320"/>
      <c r="AG9" s="338"/>
      <c r="AH9" s="338"/>
      <c r="AI9" s="338"/>
      <c r="AJ9" s="338"/>
    </row>
    <row r="10" spans="1:36" s="83" customFormat="1" ht="9" customHeight="1">
      <c r="A10" s="89"/>
      <c r="B10" s="90"/>
      <c r="C10" s="90"/>
      <c r="D10" s="109"/>
      <c r="E10" s="91"/>
      <c r="F10" s="91"/>
      <c r="G10" s="92"/>
      <c r="H10" s="91"/>
      <c r="I10" s="110"/>
      <c r="J10" s="93" t="s">
        <v>23</v>
      </c>
      <c r="K10" s="111" t="s">
        <v>24</v>
      </c>
      <c r="L10" s="95" t="s">
        <v>138</v>
      </c>
      <c r="M10" s="342">
        <f>IF(OR(K10="a",K10="as"),K8,IF(OR(K10="b",K10="bs"),K12,))</f>
        <v>70</v>
      </c>
      <c r="N10" s="113"/>
      <c r="O10" s="343"/>
      <c r="P10" s="80"/>
      <c r="Q10" s="81"/>
      <c r="R10" s="82"/>
      <c r="T10" s="97" t="str">
        <f>'[1]glavni sodniki'!P24</f>
        <v> </v>
      </c>
      <c r="U10" s="314">
        <f>IF(OR(K10="a",K10="as"),$U$8,IF(OR(K10="b",K10="bs"),U12,""))</f>
        <v>5971</v>
      </c>
      <c r="V10" s="147">
        <v>4</v>
      </c>
      <c r="W10" s="344" t="str">
        <f>UPPER(IF($D13="","",VLOOKUP($D13,'[1]m glavni turnir žrebna lista'!$A$7:$R$38,3)))</f>
        <v>CVETKOVIČ</v>
      </c>
      <c r="X10" s="344" t="str">
        <f>PROPER(IF($D13="","",VLOOKUP($D13,'[1]m glavni turnir žrebna lista'!$A$7:$R$38,4)))</f>
        <v>Tom</v>
      </c>
      <c r="Y10" s="340">
        <f t="shared" si="0"/>
        <v>15</v>
      </c>
      <c r="Z10" s="340">
        <f>IF(Y10="","",IF(AND($Q$63=1,U12=U13),30,IF(AND($Q$63=2,U12=U13),15,IF(AND($Q$63=3,U12=U13),10,""))))</f>
        <v>15</v>
      </c>
      <c r="AA10" s="340">
        <f>IF(Z10="","",IF(AND($Q$63=1,$U$10=U12,U12=U13),60,IF(AND($Q$63=2,$U$10=U12,U12=U13),30,IF(AND($Q$63=3,$U$10=U12,U12=U13),20,""))))</f>
      </c>
      <c r="AB10" s="340">
        <f>IF(AA10="","",IF(AND($Q$63=1,$U$14=$U$10,$U$10=U12,U12=U13),120,IF(AND($Q$63=2,$U$14=$U$10,$U$10=U12,U13=U12),60,IF(AND($Q$63=3,$U$14=$U$10,$U$10=U12,U13=U12),40,""))))</f>
      </c>
      <c r="AC10" s="340">
        <f>IF(AB10="","",IF(AND($Q$63=1,$U$13=$U$12,$U$10=$U$12,$U$10=$U$14,$U$22=$U$14),120,IF(AND($Q$63=2,$U$13=$U$12,$U$12=$U$10,$U$10=$U$14,$U$22=$U$14),60,IF(AND($Q$63=3,$U$13=$U$12,$U$12=$U$10,$U$10=$U$14,$U$22=$U$14),40,""))))</f>
      </c>
      <c r="AD10" s="340">
        <f>IF(AC10="","",IF(AND($Q$63=1,$U$13=$U$12,$U$10=$U$12,$U$10=$U$14,$U$22=$U$14,$U$38=$U$22),120,IF(AND($Q$63=2,$U$13=$U$12,$U$12=$U$10,$U$10=$U$14,$U$22=$U$14,$U$38=$U$22),60,IF(AND($Q$63=3,$U$13=$U$12,$U$12=$U$10,$U$10=$U$14,$U$22=$U$14,$U$38=$U$22),40,""))))</f>
      </c>
      <c r="AE10" s="341">
        <f t="shared" si="1"/>
        <v>30</v>
      </c>
      <c r="AF10" s="320"/>
      <c r="AG10" s="338"/>
      <c r="AH10" s="338"/>
      <c r="AI10" s="338"/>
      <c r="AJ10" s="338"/>
    </row>
    <row r="11" spans="1:36" s="83" customFormat="1" ht="9" customHeight="1">
      <c r="A11" s="89">
        <v>3</v>
      </c>
      <c r="B11" s="103" t="str">
        <f>IF($D11="","",VLOOKUP($D11,'[1]m glavni turnir žrebna lista'!$A$7:$R$38,17))</f>
        <v>K</v>
      </c>
      <c r="C11" s="103">
        <f>IF($D11="","",VLOOKUP($D11,'[1]m glavni turnir žrebna lista'!$A$7:$R$38,2))</f>
        <v>6789</v>
      </c>
      <c r="D11" s="74">
        <v>28</v>
      </c>
      <c r="E11" s="104" t="str">
        <f>UPPER(IF($D11="","",VLOOKUP($D11,'[1]m glavni turnir žrebna lista'!$A$7:$R$38,3)))</f>
        <v>KAPLJA</v>
      </c>
      <c r="F11" s="104" t="str">
        <f>PROPER(IF($D11="","",VLOOKUP($D11,'[1]m glavni turnir žrebna lista'!$A$7:$R$38,4)))</f>
        <v>Aljaž Jakob</v>
      </c>
      <c r="G11" s="104"/>
      <c r="H11" s="104" t="str">
        <f>IF($D11="","",VLOOKUP($D11,'[1]m glavni turnir žrebna lista'!$A$7:$R$38,5))</f>
        <v>RADOM</v>
      </c>
      <c r="I11" s="75">
        <f>IF($D11="","",VLOOKUP($D11,'[1]m glavni turnir žrebna lista'!$A$7:$R$38,14))</f>
        <v>10</v>
      </c>
      <c r="J11" s="76"/>
      <c r="K11" s="114"/>
      <c r="L11" s="259" t="s">
        <v>144</v>
      </c>
      <c r="M11" s="345"/>
      <c r="N11" s="113"/>
      <c r="O11" s="343"/>
      <c r="P11" s="80"/>
      <c r="Q11" s="81"/>
      <c r="R11" s="82"/>
      <c r="T11" s="97" t="str">
        <f>'[1]glavni sodniki'!P25</f>
        <v> </v>
      </c>
      <c r="U11" s="314">
        <f>IF($D11="","",VLOOKUP($D11,'[1]m glavni turnir žrebna lista'!$A$7:$R$38,2))</f>
        <v>6789</v>
      </c>
      <c r="V11" s="147">
        <v>5</v>
      </c>
      <c r="W11" s="147" t="str">
        <f>UPPER(IF($D15="","",VLOOKUP($D15,'[1]m glavni turnir žrebna lista'!$A$7:$R$38,3)))</f>
        <v>POVHE</v>
      </c>
      <c r="X11" s="147" t="str">
        <f>PROPER(IF($D15="","",VLOOKUP($D15,'[1]m glavni turnir žrebna lista'!$A$7:$R$38,4)))</f>
        <v>Miha</v>
      </c>
      <c r="Y11" s="329">
        <f t="shared" si="0"/>
        <v>15</v>
      </c>
      <c r="Z11" s="329">
        <f>IF(Y11="","",IF(AND($Q$63=1,U15=U16),30,IF(AND($Q$63=2,U15=U16),15,IF(AND($Q$63=3,U15=U16),10,""))))</f>
        <v>15</v>
      </c>
      <c r="AA11" s="329">
        <v>30</v>
      </c>
      <c r="AB11" s="329">
        <f>IF(AA11="","",IF(AND($Q$63=1,U15=$U$14,U15=U16,U16=U18),120,IF(AND($Q$63=2,U15=$U$14,U15=U16,U16=U18),60,IF(AND($Q$63=3,U15=$U$14,U15=U16,U16=U18),40,""))))</f>
      </c>
      <c r="AC11" s="329">
        <f>IF(AB11="","",IF(AND($Q$63=1,$U$15=$U$16,$U$16=$U$18,$U$18=$U$14,$U$22=$U$14),120,IF(AND($Q$63=2,$U$15=$U$16,$U$16=$U$18,$U$18=$U$14,$U$22=$U$14),60,IF(AND($Q$63=3,$U$15=$U$16,$U$16=$U$18,$U$18=$U$14,$U$22=$U$14),40,""))))</f>
      </c>
      <c r="AD11" s="329">
        <f>IF(AC11="","",IF(AND($Q$63=1,$U$15=$U$16,$U$16=$U$18,$U$18=$U$14,$U$22=$U$14,$U$38=$U$22),120,IF(AND($Q$63=2,$U$15=$U$16,$U$16=$U$18,$U$18=$U$14,$U$22=$U$14,$U$38=$U$22),60,IF(AND($Q$63=3,$U$15=$U$16,$U$16=$U$18,$U$18=$U$14,$U$22=$U$14,$U$38=$U$22),40,""))))</f>
      </c>
      <c r="AE11" s="337">
        <f t="shared" si="1"/>
        <v>60</v>
      </c>
      <c r="AF11" s="320"/>
      <c r="AG11" s="338"/>
      <c r="AH11" s="338"/>
      <c r="AI11" s="338"/>
      <c r="AJ11" s="338"/>
    </row>
    <row r="12" spans="1:36" s="83" customFormat="1" ht="9" customHeight="1">
      <c r="A12" s="89"/>
      <c r="B12" s="90"/>
      <c r="C12" s="90"/>
      <c r="D12" s="109"/>
      <c r="E12" s="91"/>
      <c r="F12" s="91"/>
      <c r="G12" s="92"/>
      <c r="H12" s="93" t="s">
        <v>23</v>
      </c>
      <c r="I12" s="94" t="s">
        <v>26</v>
      </c>
      <c r="J12" s="95" t="str">
        <f>UPPER(IF(OR(I12="a",I12="as"),E11,IF(OR(I12="b",I12="bs"),E13,)))</f>
        <v>CVETKOVIČ</v>
      </c>
      <c r="K12" s="117">
        <f>IF(OR(I12="a",I12="as"),I11,IF(OR(I12="b",I12="bs"),I13,))</f>
        <v>20</v>
      </c>
      <c r="L12" s="76"/>
      <c r="M12" s="345"/>
      <c r="N12" s="113"/>
      <c r="O12" s="343"/>
      <c r="P12" s="80"/>
      <c r="Q12" s="81"/>
      <c r="R12" s="82"/>
      <c r="T12" s="97" t="str">
        <f>'[1]glavni sodniki'!P26</f>
        <v> </v>
      </c>
      <c r="U12" s="314">
        <f>IF(OR(I12="a",I12="as"),C11,IF(OR(I12="b",I12="bs"),C13,""))</f>
        <v>6242</v>
      </c>
      <c r="V12" s="147">
        <v>6</v>
      </c>
      <c r="W12" s="344" t="str">
        <f>UPPER(IF($D17="","",VLOOKUP($D17,'[1]m glavni turnir žrebna lista'!$A$7:$R$38,3)))</f>
        <v>BREZOVEC</v>
      </c>
      <c r="X12" s="344" t="str">
        <f>PROPER(IF($D17="","",VLOOKUP($D17,'[1]m glavni turnir žrebna lista'!$A$7:$R$38,4)))</f>
        <v>Peter</v>
      </c>
      <c r="Y12" s="340">
        <f t="shared" si="0"/>
        <v>15</v>
      </c>
      <c r="Z12" s="340">
        <f>IF(Y12="","",IF(AND($Q$63=1,U16=U17),30,IF(AND($Q$63=2,U16=U17),15,IF(AND($Q$63=3,U16=U17),10,""))))</f>
      </c>
      <c r="AA12" s="340">
        <f>IF(Z12="","",IF(AND($Q$63=1,U16=U17,U17=U18),60,IF(AND($Q$63=2,U16=U17,U17=U18),30,IF(AND($Q$63=3,U16=U17,U17=U18),20,""))))</f>
      </c>
      <c r="AB12" s="340">
        <f>IF(AA12="","",IF(AND($Q$63=1,U16=$U$14,U16=U17,U17=U18),120,IF(AND($Q$63=2,U16=$U$14,U16=U17,U17=U18),60,IF(AND($Q$63=3,U16=$U$14,U16=U17,U17=U18),40,""))))</f>
      </c>
      <c r="AC12" s="340">
        <f>IF(AB12="","",IF(AND($Q$63=1,$U$17=$U$16,$U$16=$U$18,$U$18=$U$14,$U$22=$U$14),120,IF(AND($Q$63=2,$U$17=$U$16,$U$16=$U$18,$U$18=$U$14,$U$22=$U$14),60,IF(AND($Q$63=3,$U$17=$U$16,$U$16=$U$18,$U$18=$U$14,$U$22=$U$14),40,""))))</f>
      </c>
      <c r="AD12" s="340">
        <f>IF(AC12="","",IF(AND($Q$63=1,$U$17=$U$16,$U$16=$U$18,$U$18=$U$14,$U$22=$U$14,$U$38=$U$22),120,IF(AND($Q$63=2,$U$17=$U$16,$U$16=$U$18,$U$18=$U$14,$U$22=$U$14,$U$38=$U$22),60,IF(AND($Q$63=3,$U$17=$U$16,$U$16=$U$18,$U$18=$U$14,$U$22=$U$14,$U$38=$U$22),40,""))))</f>
      </c>
      <c r="AE12" s="341">
        <f t="shared" si="1"/>
        <v>15</v>
      </c>
      <c r="AF12" s="320"/>
      <c r="AG12" s="338"/>
      <c r="AH12" s="338"/>
      <c r="AI12" s="338"/>
      <c r="AJ12" s="338"/>
    </row>
    <row r="13" spans="1:36" s="83" customFormat="1" ht="9" customHeight="1">
      <c r="A13" s="89">
        <v>4</v>
      </c>
      <c r="B13" s="103" t="str">
        <f>IF($D13="","",VLOOKUP($D13,'[1]m glavni turnir žrebna lista'!$A$7:$R$38,17))</f>
        <v>D</v>
      </c>
      <c r="C13" s="103">
        <f>IF($D13="","",VLOOKUP($D13,'[1]m glavni turnir žrebna lista'!$A$7:$R$38,2))</f>
        <v>6242</v>
      </c>
      <c r="D13" s="74">
        <v>15</v>
      </c>
      <c r="E13" s="104" t="str">
        <f>UPPER(IF($D13="","",VLOOKUP($D13,'[1]m glavni turnir žrebna lista'!$A$7:$R$38,3)))</f>
        <v>CVETKOVIČ</v>
      </c>
      <c r="F13" s="104" t="str">
        <f>PROPER(IF($D13="","",VLOOKUP($D13,'[1]m glavni turnir žrebna lista'!$A$7:$R$38,4)))</f>
        <v>Tom</v>
      </c>
      <c r="G13" s="104"/>
      <c r="H13" s="104" t="str">
        <f>IF($D13="","",VLOOKUP($D13,'[1]m glavni turnir žrebna lista'!$A$7:$R$38,5))</f>
        <v>RADOV</v>
      </c>
      <c r="I13" s="105">
        <f>IF($D13="","",VLOOKUP($D13,'[1]m glavni turnir žrebna lista'!$A$7:$R$38,14))</f>
        <v>20</v>
      </c>
      <c r="J13" s="259" t="s">
        <v>95</v>
      </c>
      <c r="K13" s="119"/>
      <c r="L13" s="76"/>
      <c r="M13" s="345"/>
      <c r="N13" s="113"/>
      <c r="O13" s="343"/>
      <c r="P13" s="80"/>
      <c r="Q13" s="81"/>
      <c r="R13" s="82"/>
      <c r="T13" s="97" t="str">
        <f>'[1]glavni sodniki'!P27</f>
        <v> </v>
      </c>
      <c r="U13" s="314">
        <f>IF($D13="","",VLOOKUP($D13,'[1]m glavni turnir žrebna lista'!$A$7:$R$38,2))</f>
        <v>6242</v>
      </c>
      <c r="V13" s="147">
        <v>7</v>
      </c>
      <c r="W13" s="147" t="str">
        <f>UPPER(IF($D19="","",VLOOKUP($D19,'[1]m glavni turnir žrebna lista'!$A$7:$R$38,3)))</f>
        <v>ŠTER</v>
      </c>
      <c r="X13" s="147" t="str">
        <f>PROPER(IF($D19="","",VLOOKUP($D19,'[1]m glavni turnir žrebna lista'!$A$7:$R$38,4)))</f>
        <v>Nejc</v>
      </c>
      <c r="Y13" s="329">
        <f t="shared" si="0"/>
        <v>15</v>
      </c>
      <c r="Z13" s="329">
        <f>IF(Y13="","",IF(AND($Q$63=1,U20=U19),30,IF(AND($Q$63=2,U20=U19),15,IF(AND($Q$63=3,U20=U19),10,""))))</f>
      </c>
      <c r="AA13" s="329">
        <f>IF(Z13="","",IF(AND($Q$63=1,U20=U18,U20=U19),60,IF(AND($Q$63=2,U20=U18,U20=U19),30,IF(AND($Q$63=3,U20=U18,U20=U19),20,""))))</f>
      </c>
      <c r="AB13" s="329">
        <f>IF(AA13="","",IF(AND($Q$63=1,U20=U19,U19=U18,U18=$U$14),120,IF(AND($Q$63=2,U20=U19,U19=U18,U18=$U$14),60,IF(AND($Q$63=3,U20=U19,U19=U18,U18=$U$14),40,""))))</f>
      </c>
      <c r="AC13" s="329">
        <f>IF(AB13="","",IF(AND($Q$63=1,$U$19=$U$20,$U$20=$U$18,$U$18=$U$14,$U$22=$U$14),120,IF(AND($Q$63=2,$U$19=$U$20,$U$20=$U$18,$U$18=$U$14,$U$22=$U$14),60,IF(AND($Q$63=3,$U$19=$U$20,$U$20=$U$18,$U$18=$U$14,$U$22=$U$14),40,""))))</f>
      </c>
      <c r="AD13" s="329">
        <f>IF(AC13="","",IF(AND($Q$63=1,$U$19=$U$20,$U$20=$U$18,$U$18=$U$14,$U$22=$U$14,$U$38=$U$22),120,IF(AND($Q$63=2,$U$19=$U$20,$U$20=$U$18,$U$18=$U$14,$U$22=$U$14,$U$38=$U$22),60,IF(AND($Q$63=3,$U$19=$U$20,$U$20=$U$18,$U$18=$U$14,$U$22=$U$14,$U$38=$U$22),40,""))))</f>
      </c>
      <c r="AE13" s="337">
        <f t="shared" si="1"/>
        <v>15</v>
      </c>
      <c r="AF13" s="320"/>
      <c r="AG13" s="338"/>
      <c r="AH13" s="338"/>
      <c r="AI13" s="338"/>
      <c r="AJ13" s="338"/>
    </row>
    <row r="14" spans="1:36" s="83" customFormat="1" ht="9" customHeight="1">
      <c r="A14" s="89"/>
      <c r="B14" s="90"/>
      <c r="C14" s="90"/>
      <c r="D14" s="109"/>
      <c r="E14" s="76"/>
      <c r="F14" s="76"/>
      <c r="G14" s="120"/>
      <c r="H14" s="121"/>
      <c r="I14" s="110"/>
      <c r="J14" s="76"/>
      <c r="K14" s="119"/>
      <c r="L14" s="93" t="s">
        <v>23</v>
      </c>
      <c r="M14" s="111" t="s">
        <v>156</v>
      </c>
      <c r="N14" s="95" t="str">
        <f>UPPER(IF(OR(M14="a",M14="as"),L10,IF(OR(M14="b",M14="bs"),L18,)))</f>
        <v>GORŠIČ</v>
      </c>
      <c r="O14" s="342">
        <f>IF(OR(M14="a",M14="as"),M10,IF(OR(M14="b",M14="bs"),M18,))</f>
        <v>70</v>
      </c>
      <c r="P14" s="80"/>
      <c r="Q14" s="81"/>
      <c r="R14" s="82"/>
      <c r="T14" s="97" t="str">
        <f>'[1]glavni sodniki'!P28</f>
        <v> </v>
      </c>
      <c r="U14" s="314">
        <f>IF(OR(M14="a",M14="as"),$U$10,IF(OR(M14="b",M14="bs"),U18,""))</f>
        <v>5971</v>
      </c>
      <c r="V14" s="147">
        <v>8</v>
      </c>
      <c r="W14" s="344" t="str">
        <f>UPPER(IF($D21="","",VLOOKUP($D21,'[1]m glavni turnir žrebna lista'!$A$7:$R$38,3)))</f>
        <v>GAŠPERŠIČ</v>
      </c>
      <c r="X14" s="344" t="str">
        <f>PROPER(IF($D21="","",VLOOKUP($D21,'[1]m glavni turnir žrebna lista'!$A$7:$R$38,4)))</f>
        <v>Žiga</v>
      </c>
      <c r="Y14" s="340">
        <f t="shared" si="0"/>
        <v>15</v>
      </c>
      <c r="Z14" s="340">
        <f>IF(Y14="","",IF(AND($Q$63=1,U21=U20),30,IF(AND($Q$63=2,U21=U20),15,IF(AND($Q$63=3,U21=U20),10,""))))</f>
        <v>15</v>
      </c>
      <c r="AA14" s="340">
        <f>IF(Z14="","",IF(AND($Q$63=1,U20=U18,U21=U20),60,IF(AND($Q$63=2,U20=U18,U21=U20),30,IF(AND($Q$63=3,U20=U18,U21=U20),20,""))))</f>
      </c>
      <c r="AB14" s="340">
        <f>IF(AA14="","",IF(AND($Q$63=1,U21=U20,U20=U18,U18=$U$14),120,IF(AND($Q$63=2,U21=U20,U20=U18,U18=$U$14),60,IF(AND($Q$63=3,U21=U20,U20=U18,U18=$U$14),40,""))))</f>
      </c>
      <c r="AC14" s="340">
        <f>IF(AB14="","",IF(AND($Q$63=1,$U$21=$U$20,$U$20=$U$18,$U$18=$U$14,$U$22=$U$14),120,IF(AND($Q$63=2,$U$21=$U$20,$U$20=$U$18,$U$18=$U$14,$U$22=$U$14),60,IF(AND($Q$63=3,$U$21=$U$20,$U$20=$U$18,$U$18=$U$14,$U$22=$U$14),40,""))))</f>
      </c>
      <c r="AD14" s="340">
        <f>IF(AC14="","",IF(AND($Q$63=1,$U$21=$U$20,$U$20=$U$18,$U$18=$U$14,$U$22=$U$14,$U$38=$U$22),120,IF(AND($Q$63=2,$U$21=$U$20,$U$20=$U$18,$U$18=$U$14,$U$22=$U$14,$U$38=$U$22),60,IF(AND($Q$63=3,$U$21=$U$20,$U$20=$U$18,$U$18=$U$14,$U$22=$U$14,$U$38=$U$22),40,""))))</f>
      </c>
      <c r="AE14" s="341">
        <f t="shared" si="1"/>
        <v>30</v>
      </c>
      <c r="AF14" s="320"/>
      <c r="AG14" s="338"/>
      <c r="AH14" s="338"/>
      <c r="AI14" s="338"/>
      <c r="AJ14" s="338"/>
    </row>
    <row r="15" spans="1:36" s="83" customFormat="1" ht="9" customHeight="1">
      <c r="A15" s="89">
        <v>5</v>
      </c>
      <c r="B15" s="103" t="str">
        <f>IF($D15="","",VLOOKUP($D15,'[1]m glavni turnir žrebna lista'!$A$7:$R$38,17))</f>
        <v>D</v>
      </c>
      <c r="C15" s="103">
        <f>IF($D15="","",VLOOKUP($D15,'[1]m glavni turnir žrebna lista'!$A$7:$R$38,2))</f>
        <v>6301</v>
      </c>
      <c r="D15" s="74">
        <v>16</v>
      </c>
      <c r="E15" s="104" t="str">
        <f>UPPER(IF($D15="","",VLOOKUP($D15,'[1]m glavni turnir žrebna lista'!$A$7:$R$38,3)))</f>
        <v>POVHE</v>
      </c>
      <c r="F15" s="104" t="str">
        <f>PROPER(IF($D15="","",VLOOKUP($D15,'[1]m glavni turnir žrebna lista'!$A$7:$R$38,4)))</f>
        <v>Miha</v>
      </c>
      <c r="G15" s="104"/>
      <c r="H15" s="104" t="str">
        <f>IF($D15="","",VLOOKUP($D15,'[1]m glavni turnir žrebna lista'!$A$7:$R$38,5))</f>
        <v>KRŠKO</v>
      </c>
      <c r="I15" s="75">
        <f>IF($D15="","",VLOOKUP($D15,'[1]m glavni turnir žrebna lista'!$A$7:$R$38,14))</f>
        <v>20</v>
      </c>
      <c r="J15" s="76"/>
      <c r="K15" s="119"/>
      <c r="L15" s="76"/>
      <c r="M15" s="345"/>
      <c r="N15" s="259" t="s">
        <v>96</v>
      </c>
      <c r="O15" s="346"/>
      <c r="P15" s="78"/>
      <c r="Q15" s="79"/>
      <c r="R15" s="82"/>
      <c r="T15" s="97" t="str">
        <f>'[1]glavni sodniki'!P29</f>
        <v> </v>
      </c>
      <c r="U15" s="314">
        <f>IF($D15="","",VLOOKUP($D15,'[1]m glavni turnir žrebna lista'!$A$7:$R$38,2))</f>
        <v>6301</v>
      </c>
      <c r="V15" s="147">
        <v>9</v>
      </c>
      <c r="W15" s="147" t="str">
        <f>UPPER(IF($D23="","",VLOOKUP($D23,'[1]m glavni turnir žrebna lista'!$A$7:$R$38,3)))</f>
        <v>CAJZEK</v>
      </c>
      <c r="X15" s="147" t="str">
        <f>PROPER(IF($D23="","",VLOOKUP($D23,'[1]m glavni turnir žrebna lista'!$A$7:$R$38,4)))</f>
        <v>Aljaž</v>
      </c>
      <c r="Y15" s="329">
        <f t="shared" si="0"/>
        <v>15</v>
      </c>
      <c r="Z15" s="329">
        <f>IF(Y15="","",IF(AND($Q$63=1,U24=U23),30,IF(AND($Q$63=2,U24=U23),15,IF(AND($Q$63=3,U24=U23),10,""))))</f>
        <v>15</v>
      </c>
      <c r="AA15" s="329">
        <f>IF(Z15="","",IF(AND($Q$63=1,U26=U24,U24=U23),60,IF(AND($Q$63=2,U26=U24,U24=U23),30,IF(AND($Q$63=3,U26=U24,U24=U23),20,""))))</f>
        <v>30</v>
      </c>
      <c r="AB15" s="329">
        <f>IF(AA15="","",IF(AND($Q$63=1,U23=U24,U24=U26,U26=U30),120,IF(AND($Q$63=2,U23=U24,U24=U26,U26=U30),60,IF(AND($Q$63=3,U23=U24,U24=U26,U26=U30),40,""))))</f>
        <v>60</v>
      </c>
      <c r="AC15" s="329">
        <f>IF(AB15="","",IF(AND($Q$63=1,$U$23=$U$24,$U$24=$U$26,$U$26=$U$30,$U$30=$U$22),120,IF(AND($Q$63=2,$U$23=$U$24,$U$24=$U$26,$U$26=$U$30,$U$30=$U$22),60,IF(AND($Q$63=3,$U$23=$U$24,$U$24=$U$26,$U$26=$U$30,$U$30=$U$22),40,""))))</f>
      </c>
      <c r="AD15" s="329">
        <f>IF(AC15="","",IF(AND($Q$63=1,$U$23=$U$24,$U$24=$U$26,$U$26=$U$30,$U$30=$U$22,$U$38=$U$22),120,IF(AND($Q$63=2,$U$23=$U$24,$U$24=$U$26,$U$26=$U$30,$U$30=$U$22,$U$38=$U$22),60,IF(AND($Q$63=3,$U$23=$U$24,$U$24=$U$26,$U$26=$U$30,$U$30=$U$22,$U$38=$U$22),40,""))))</f>
      </c>
      <c r="AE15" s="337">
        <f t="shared" si="1"/>
        <v>120</v>
      </c>
      <c r="AF15" s="320"/>
      <c r="AG15" s="338"/>
      <c r="AH15" s="338"/>
      <c r="AI15" s="338"/>
      <c r="AJ15" s="338"/>
    </row>
    <row r="16" spans="1:36" s="83" customFormat="1" ht="9" customHeight="1" thickBot="1">
      <c r="A16" s="89"/>
      <c r="B16" s="90"/>
      <c r="C16" s="90"/>
      <c r="D16" s="109"/>
      <c r="E16" s="91"/>
      <c r="F16" s="91"/>
      <c r="G16" s="92"/>
      <c r="H16" s="93" t="s">
        <v>23</v>
      </c>
      <c r="I16" s="94" t="s">
        <v>27</v>
      </c>
      <c r="J16" s="104" t="str">
        <f>UPPER(IF(OR(I16="a",I16="as"),E15,IF(OR(I16="b",I16="bs"),E17,)))</f>
        <v>POVHE</v>
      </c>
      <c r="K16" s="96">
        <f>IF(OR(I16="a",I16="as"),I15,IF(OR(I16="b",I16="bs"),I17,))</f>
        <v>20</v>
      </c>
      <c r="L16" s="76"/>
      <c r="M16" s="345"/>
      <c r="N16" s="78"/>
      <c r="O16" s="346"/>
      <c r="P16" s="78"/>
      <c r="Q16" s="79"/>
      <c r="R16" s="82"/>
      <c r="T16" s="125" t="str">
        <f>'[1]glavni sodniki'!P30</f>
        <v>Brez sodnika</v>
      </c>
      <c r="U16" s="314">
        <f>IF(OR(I16="a",I16="as"),C15,IF(OR(I16="b",I16="bs"),C17,""))</f>
        <v>6301</v>
      </c>
      <c r="V16" s="147">
        <v>10</v>
      </c>
      <c r="W16" s="344" t="str">
        <f>UPPER(IF($D25="","",VLOOKUP($D25,'[1]m glavni turnir žrebna lista'!$A$7:$R$38,3)))</f>
        <v>KEGL</v>
      </c>
      <c r="X16" s="344" t="str">
        <f>PROPER(IF($D25="","",VLOOKUP($D25,'[1]m glavni turnir žrebna lista'!$A$7:$R$38,4)))</f>
        <v>Marino</v>
      </c>
      <c r="Y16" s="340">
        <f t="shared" si="0"/>
        <v>15</v>
      </c>
      <c r="Z16" s="340">
        <f>IF(Y16="","",IF(AND($Q$63=1,U25=U24),30,IF(AND($Q$63=2,U25=U24),15,IF(AND($Q$63=3,U25=U24),10,""))))</f>
      </c>
      <c r="AA16" s="340">
        <f>IF(Z16="","",IF(AND($Q$63=1,U26=U25,U25=U24),60,IF(AND($Q$63=2,U26=U25,U25=U24),30,IF(AND($Q$63=3,U26=U25,U25=U24),20,""))))</f>
      </c>
      <c r="AB16" s="340">
        <f>IF(AA16="","",IF(AND($Q$63=1,U24=U25,U25=U26,U26=U30),120,IF(AND($Q$63=2,U24=U25,U25=U26,U26=U30),60,IF(AND($Q$63=3,U24=U25,U25=U26,U26=U30),40,""))))</f>
      </c>
      <c r="AC16" s="340">
        <f>IF(AB16="","",IF(AND($Q$63=1,$U$25=$U$24,$U$24=$U$26,$U$26=$U$30,$U$30=$U$22),120,IF(AND($Q$63=2,$U$25=$U$24,$U$24=$U$26,$U$26=$U$30,$U$30=$U$22),60,IF(AND($Q$63=3,$U$25=$U$24,$U$24=$U$26,$U$26=$U$30,$U$30=$U$22),40,""))))</f>
      </c>
      <c r="AD16" s="340">
        <f>IF(AC16="","",IF(AND($Q$63=1,$U$25=$U$24,$U$24=$U$26,$U$26=$U$30,$U$30=$U$22,$U$38=$U$22),120,IF(AND($Q$63=2,$U$25=$U$24,$U$24=$U$26,$U$26=$U$30,$U$30=$U$22,$U$38=$U$22),60,IF(AND($Q$63=3,$U$25=$U$24,$U$24=$U$26,$U$26=$U$30,$U$30=$U$22,$U$38=$U$22),40,""))))</f>
      </c>
      <c r="AE16" s="341">
        <f t="shared" si="1"/>
        <v>15</v>
      </c>
      <c r="AF16" s="320"/>
      <c r="AG16" s="338"/>
      <c r="AH16" s="338"/>
      <c r="AI16" s="338"/>
      <c r="AJ16" s="338"/>
    </row>
    <row r="17" spans="1:36" s="83" customFormat="1" ht="9" customHeight="1">
      <c r="A17" s="89">
        <v>6</v>
      </c>
      <c r="B17" s="103" t="str">
        <f>IF($D17="","",VLOOKUP($D17,'[1]m glavni turnir žrebna lista'!$A$7:$R$38,17))</f>
        <v>V</v>
      </c>
      <c r="C17" s="103">
        <f>IF($D17="","",VLOOKUP($D17,'[1]m glavni turnir žrebna lista'!$A$7:$R$38,2))</f>
        <v>6467</v>
      </c>
      <c r="D17" s="74">
        <v>29</v>
      </c>
      <c r="E17" s="104" t="str">
        <f>UPPER(IF($D17="","",VLOOKUP($D17,'[1]m glavni turnir žrebna lista'!$A$7:$R$38,3)))</f>
        <v>BREZOVEC</v>
      </c>
      <c r="F17" s="104" t="str">
        <f>PROPER(IF($D17="","",VLOOKUP($D17,'[1]m glavni turnir žrebna lista'!$A$7:$R$38,4)))</f>
        <v>Peter</v>
      </c>
      <c r="G17" s="104"/>
      <c r="H17" s="104" t="str">
        <f>IF($D17="","",VLOOKUP($D17,'[1]m glavni turnir žrebna lista'!$A$7:$R$38,5))</f>
        <v>PORTO</v>
      </c>
      <c r="I17" s="105">
        <f>IF($D17="","",VLOOKUP($D17,'[1]m glavni turnir žrebna lista'!$A$7:$R$38,14))</f>
        <v>10</v>
      </c>
      <c r="J17" s="259" t="s">
        <v>96</v>
      </c>
      <c r="K17" s="107"/>
      <c r="L17" s="76"/>
      <c r="M17" s="345"/>
      <c r="N17" s="78"/>
      <c r="O17" s="346"/>
      <c r="P17" s="78"/>
      <c r="Q17" s="79"/>
      <c r="R17" s="82"/>
      <c r="U17" s="314">
        <f>IF($D17="","",VLOOKUP($D17,'[1]m glavni turnir žrebna lista'!$A$7:$R$38,2))</f>
        <v>6467</v>
      </c>
      <c r="V17" s="147">
        <v>11</v>
      </c>
      <c r="W17" s="147" t="str">
        <f>UPPER(IF($D27="","",VLOOKUP($D27,'[1]m glavni turnir žrebna lista'!$A$7:$R$38,3)))</f>
        <v>HOBACHER</v>
      </c>
      <c r="X17" s="147" t="str">
        <f>PROPER(IF($D27="","",VLOOKUP($D27,'[1]m glavni turnir žrebna lista'!$A$7:$R$38,4)))</f>
        <v>Dominik</v>
      </c>
      <c r="Y17" s="329">
        <f t="shared" si="0"/>
        <v>15</v>
      </c>
      <c r="Z17" s="329">
        <f>IF(Y17="","",IF(AND($Q$63=1,U28=U27),30,IF(AND($Q$63=2,U28=U27),15,IF(AND($Q$63=3,U28=U27),10,""))))</f>
      </c>
      <c r="AA17" s="329">
        <f>IF(Z17="","",IF(AND($Q$63=1,U27=U26,U26=U28),60,IF(AND($Q$63=2,U27=U26,U26=U28),30,IF(AND($Q$63=3,U27=U26,U26=U28),20,""))))</f>
      </c>
      <c r="AB17" s="329">
        <f>IF(AA17="","",IF(AND($Q$63=1,U28=U27,U26=U27,U28=U30),120,IF(AND($Q$63=2,U28=U27,U26=U27,U28=U30),60,IF(AND($Q$63=3,U28=U26,U26=U27,U28=U30),40,""))))</f>
      </c>
      <c r="AC17" s="329">
        <f>IF(AB17="","",IF(AND($Q$63=1,$U$27=$U$28,$U$28=$U$26,$U$26=$U$30,$U$30=$U$22),120,IF(AND($Q$63=2,$U$27=$U$28,$U$28=$U$26,$U$26=$U$30,$U$30=$U$22),60,IF(AND($Q$63=3,$U$27=$U$28,$U$28=$U$26,$U$26=$U$30,$U$30=$U$22),40,""))))</f>
      </c>
      <c r="AD17" s="329">
        <f>IF(AC17="","",IF(AND($Q$63=1,$U$27=$U$28,$U$28=$U$26,$U$26=$U$30,$U$30=$U$22,$U$38=$U$22),120,IF(AND($Q$63=2,$U$27=$U$28,$U$28=$U$26,$U$26=$U$30,$U$30=$U$22,$U$38=$U$22),60,IF(AND($Q$63=3,$U$27=$U$28,$U$28=$U$26,$U$26=$U$30,$U$30=$U$22,$U$38=$U$22),40,""))))</f>
      </c>
      <c r="AE17" s="337">
        <f t="shared" si="1"/>
        <v>15</v>
      </c>
      <c r="AF17" s="320"/>
      <c r="AG17" s="338"/>
      <c r="AH17" s="338"/>
      <c r="AI17" s="338"/>
      <c r="AJ17" s="338"/>
    </row>
    <row r="18" spans="1:36" s="83" customFormat="1" ht="9" customHeight="1">
      <c r="A18" s="89"/>
      <c r="B18" s="90"/>
      <c r="C18" s="90"/>
      <c r="D18" s="109"/>
      <c r="E18" s="91"/>
      <c r="F18" s="91"/>
      <c r="G18" s="92"/>
      <c r="H18" s="76"/>
      <c r="I18" s="110"/>
      <c r="J18" s="93" t="s">
        <v>23</v>
      </c>
      <c r="K18" s="111" t="s">
        <v>147</v>
      </c>
      <c r="L18" s="95" t="s">
        <v>139</v>
      </c>
      <c r="M18" s="347">
        <f>IF(OR(K18="a",K18="as"),K16,IF(OR(K18="b",K18="bs"),K20,))</f>
        <v>0</v>
      </c>
      <c r="N18" s="78"/>
      <c r="O18" s="346"/>
      <c r="P18" s="78"/>
      <c r="Q18" s="79"/>
      <c r="R18" s="82"/>
      <c r="U18" s="314">
        <f>IF(OR(K18="a",K18="as"),U16,IF(OR(K18="b",K18="bs"),U20,""))</f>
      </c>
      <c r="V18" s="147">
        <v>12</v>
      </c>
      <c r="W18" s="344" t="str">
        <f>UPPER(IF($D29="","",VLOOKUP($D29,'[1]m glavni turnir žrebna lista'!$A$7:$R$38,3)))</f>
        <v>GAŠPERŠIČ</v>
      </c>
      <c r="X18" s="344" t="str">
        <f>PROPER(IF($D29="","",VLOOKUP($D29,'[1]m glavni turnir žrebna lista'!$A$7:$R$38,4)))</f>
        <v>Gregor</v>
      </c>
      <c r="Y18" s="340">
        <f t="shared" si="0"/>
        <v>15</v>
      </c>
      <c r="Z18" s="340">
        <f>IF(Y18="","",IF(AND($Q$63=1,U29=U28),30,IF(AND($Q$63=2,U29=U28),15,IF(AND($Q$63=3,U29=U28),10,""))))</f>
        <v>15</v>
      </c>
      <c r="AA18" s="340">
        <f>IF(Z18="","",IF(AND($Q$63=1,U28=U26,U28=U29),60,IF(AND($Q$63=2,U28=U26,U26=U29),30,IF(AND($Q$63=3,U28=U26,U26=U29),20,""))))</f>
      </c>
      <c r="AB18" s="340">
        <f>IF(AA18="","",IF(AND($Q$63=1,U29=U28,U26=U28,U29=U30),120,IF(AND($Q$63=2,U29=U28,U26=U28,U29=U30),60,IF(AND($Q$63=3,U29=U26,U26=U28,U29=U30),40,""))))</f>
      </c>
      <c r="AC18" s="340">
        <f>IF(AB18="","",IF(AND($Q$63=1,$U$29=$U$28,$U$28=$U$26,$U$26=$U$30,$U$30=$U$22),120,IF(AND($Q$63=2,$U$29=$U$28,$U$28=$U$26,$U$26=$U$30,$U$30=$U$22),60,IF(AND($Q$63=3,$U$29=$U$28,$U$28=$U$26,$U$26=$U$30,$U$30=$U$22),40,""))))</f>
      </c>
      <c r="AD18" s="340">
        <f>IF(AC18="","",IF(AND($Q$63=1,$U$29=$U$28,$U$28=$U$26,$U$26=$U$30,$U$30=$U$22,$U$38=$U$22),120,IF(AND($Q$63=2,$U$29=$U$28,$U$28=$U$26,$U$26=$U$30,$U$30=$U$22,$U$38=$U$22),60,IF(AND($Q$63=3,$U$29=$U$28,$U$28=$U$26,$U$26=$U$30,$U$30=$U$22,$U$38=$U$22),40,""))))</f>
      </c>
      <c r="AE18" s="341">
        <f t="shared" si="1"/>
        <v>30</v>
      </c>
      <c r="AF18" s="320"/>
      <c r="AG18" s="338"/>
      <c r="AH18" s="338"/>
      <c r="AI18" s="338"/>
      <c r="AJ18" s="338"/>
    </row>
    <row r="19" spans="1:36" s="83" customFormat="1" ht="9" customHeight="1">
      <c r="A19" s="89">
        <v>7</v>
      </c>
      <c r="B19" s="103" t="str">
        <f>IF($D19="","",VLOOKUP($D19,'[1]m glavni turnir žrebna lista'!$A$7:$R$38,17))</f>
        <v>K</v>
      </c>
      <c r="C19" s="103">
        <f>IF($D19="","",VLOOKUP($D19,'[1]m glavni turnir žrebna lista'!$A$7:$R$38,2))</f>
        <v>6219</v>
      </c>
      <c r="D19" s="74">
        <v>30</v>
      </c>
      <c r="E19" s="104" t="str">
        <f>UPPER(IF($D19="","",VLOOKUP($D19,'[1]m glavni turnir žrebna lista'!$A$7:$R$38,3)))</f>
        <v>ŠTER</v>
      </c>
      <c r="F19" s="104" t="str">
        <f>PROPER(IF($D19="","",VLOOKUP($D19,'[1]m glavni turnir žrebna lista'!$A$7:$R$38,4)))</f>
        <v>Nejc</v>
      </c>
      <c r="G19" s="104"/>
      <c r="H19" s="104" t="str">
        <f>IF($D19="","",VLOOKUP($D19,'[1]m glavni turnir žrebna lista'!$A$7:$R$38,5))</f>
        <v>ASLIT</v>
      </c>
      <c r="I19" s="75">
        <f>IF($D19="","",VLOOKUP($D19,'[1]m glavni turnir žrebna lista'!$A$7:$R$38,14))</f>
        <v>10</v>
      </c>
      <c r="J19" s="76"/>
      <c r="K19" s="114"/>
      <c r="L19" s="259" t="s">
        <v>145</v>
      </c>
      <c r="M19" s="343"/>
      <c r="N19" s="78"/>
      <c r="O19" s="346"/>
      <c r="P19" s="78"/>
      <c r="Q19" s="79"/>
      <c r="R19" s="82"/>
      <c r="U19" s="314">
        <f>IF($D19="","",VLOOKUP($D19,'[1]m glavni turnir žrebna lista'!$A$7:$R$38,2))</f>
        <v>6219</v>
      </c>
      <c r="V19" s="147">
        <v>13</v>
      </c>
      <c r="W19" s="147" t="str">
        <f>UPPER(IF($D31="","",VLOOKUP($D31,'[1]m glavni turnir žrebna lista'!$A$7:$R$38,3)))</f>
        <v>DERNIČ</v>
      </c>
      <c r="X19" s="147" t="str">
        <f>PROPER(IF($D31="","",VLOOKUP($D31,'[1]m glavni turnir žrebna lista'!$A$7:$R$38,4)))</f>
        <v>Jan</v>
      </c>
      <c r="Y19" s="329">
        <f t="shared" si="0"/>
        <v>15</v>
      </c>
      <c r="Z19" s="329">
        <f>IF(Y19="","",IF(AND($Q$63=1,U32=U31),30,IF(AND($Q$63=2,U32=U31),15,IF(AND($Q$63=3,U32=U31),10,""))))</f>
        <v>15</v>
      </c>
      <c r="AA19" s="329">
        <f>IF(Z19="","",IF(AND($Q$63=1,U34=U32,U32=U31),60,IF(AND($Q$63=2,U34=U32,U32=U31),30,IF(AND($Q$63=3,U34=U32,U32=U31),20,""))))</f>
      </c>
      <c r="AB19" s="329">
        <f>IF(AA19="","",IF(AND($Q$63=1,U31=U32,U32=U34,U30=U34),120,IF(AND($Q$63=2,U31=U32,U32=U34,U30=U34),60,IF(AND($Q$63=3,U31=U32,U32=U34,U30=U34),40,""))))</f>
      </c>
      <c r="AC19" s="329">
        <f>IF(AB19="","",IF(AND($Q$63=1,$U$31=$U$32,$U$32=$U$34,$U$34=$U$30,$U$30=$U$22),120,IF(AND($Q$63=2,$U$31=$U$32,$U$32=$U$34,$U$34=$U$30,$U$30=$U$22),60,IF(AND($Q$63=3,$U$31=$U$32,$U$32=$U$34,$U$34=$U$30,$U$30=$U$22),40,""))))</f>
      </c>
      <c r="AD19" s="329">
        <f>IF(AC19="","",IF(AND($Q$63=1,$U$31=$U$32,$U$32=$U$34,$U$34=$U$30,$U$30=$U$22,$U$38=$U$22),120,IF(AND($Q$63=2,$U$31=$U$32,$U$32=$U$34,$U$34=$U$30,$U$30=$U$22,$U$38=$U$22),60,IF(AND($Q$63=3,$U$31=$U$32,$U$32=$U$34,$U$34=$U$30,$U$30=$U$22,$U$38=$U$22),40,""))))</f>
      </c>
      <c r="AE19" s="337">
        <f t="shared" si="1"/>
        <v>30</v>
      </c>
      <c r="AF19" s="320"/>
      <c r="AG19" s="338"/>
      <c r="AH19" s="338"/>
      <c r="AI19" s="338"/>
      <c r="AJ19" s="338"/>
    </row>
    <row r="20" spans="1:36" s="83" customFormat="1" ht="9" customHeight="1">
      <c r="A20" s="89"/>
      <c r="B20" s="90"/>
      <c r="C20" s="90"/>
      <c r="D20" s="90"/>
      <c r="E20" s="91"/>
      <c r="F20" s="91"/>
      <c r="G20" s="92"/>
      <c r="H20" s="93" t="s">
        <v>23</v>
      </c>
      <c r="I20" s="94" t="s">
        <v>75</v>
      </c>
      <c r="J20" s="95" t="str">
        <f>UPPER(IF(OR(I20="a",I20="as"),E19,IF(OR(I20="b",I20="bs"),E21,)))</f>
        <v>GAŠPERŠIČ</v>
      </c>
      <c r="K20" s="348">
        <f>IF(OR(I20="a",I20="as"),I19,IF(OR(I20="b",I20="bs"),I21,))</f>
        <v>30</v>
      </c>
      <c r="L20" s="76"/>
      <c r="M20" s="343"/>
      <c r="N20" s="78"/>
      <c r="O20" s="346"/>
      <c r="P20" s="78"/>
      <c r="Q20" s="79"/>
      <c r="R20" s="82"/>
      <c r="U20" s="314">
        <f>IF(OR(I20="a",I20="as"),C19,IF(OR(I20="b",I20="bs"),C21,""))</f>
        <v>6166</v>
      </c>
      <c r="V20" s="147">
        <v>14</v>
      </c>
      <c r="W20" s="344" t="str">
        <f>UPPER(IF($D33="","",VLOOKUP($D33,'[1]m glavni turnir žrebna lista'!$A$7:$R$38,3)))</f>
        <v>LOVIŠČEK</v>
      </c>
      <c r="X20" s="344" t="str">
        <f>PROPER(IF($D33="","",VLOOKUP($D33,'[1]m glavni turnir žrebna lista'!$A$7:$R$38,4)))</f>
        <v>Anže</v>
      </c>
      <c r="Y20" s="340">
        <f t="shared" si="0"/>
        <v>15</v>
      </c>
      <c r="Z20" s="340">
        <f>IF(Y20="","",IF(AND($Q$63=1,U33=U32),30,IF(AND($Q$63=2,U33=U32),15,IF(AND($Q$63=3,U33=U32),10,""))))</f>
      </c>
      <c r="AA20" s="340">
        <f>IF(Z20="","",IF(AND($Q$63=1,U34=U33,U33=U32),60,IF(AND($Q$63=2,U34=U33,U33=U32),30,IF(AND($Q$63=3,U34=U33,U33=U32),20,""))))</f>
      </c>
      <c r="AB20" s="340">
        <f>IF(AA20="","",IF(AND($Q$63=1,U32=U33,U33=U30,U30=U34),120,IF(AND($Q$63=2,U32=U33,U33=U30,U30=U34),60,IF(AND($Q$63=3,U32=U33,U33=U30,U30=U34),40,""))))</f>
      </c>
      <c r="AC20" s="340">
        <f>IF(AB20="","",IF(AND($Q$63=1,$U$33=$U$32,$U$32=$U$34,$U$34=$U$30,$U$30=$U$22),120,IF(AND($Q$63=2,$U$33=$U$32,$U$32=$U$34,$U$34=$U$30,$U$30=$U$22),60,IF(AND($Q$63=3,$U$33=$U$32,$U$32=$U$34,$U$34=$U$30,$U$30=$U$22),40,""))))</f>
      </c>
      <c r="AD20" s="340">
        <f>IF(AC20="","",IF(AND($Q$63=1,$U$33=$U$32,$U$32=$U$34,$U$34=$U$30,$U$30=$U$22,$U$38=$U$22),120,IF(AND($Q$63=2,$U$33=$U$32,$U$32=$U$34,$U$34=$U$30,$U$30=$U$22,$U$38=$U$22),60,IF(AND($Q$63=3,$U$33=$U$32,$U$32=$U$34,$U$34=$U$30,$U$30=$U$22,$U$38=$U$22),40,""))))</f>
      </c>
      <c r="AE20" s="341">
        <f t="shared" si="1"/>
        <v>15</v>
      </c>
      <c r="AF20" s="320"/>
      <c r="AG20" s="338"/>
      <c r="AH20" s="338"/>
      <c r="AI20" s="338"/>
      <c r="AJ20" s="338"/>
    </row>
    <row r="21" spans="1:36" s="83" customFormat="1" ht="9" customHeight="1">
      <c r="A21" s="72">
        <v>8</v>
      </c>
      <c r="B21" s="73" t="str">
        <f>IF($D21="","",VLOOKUP($D21,'[1]m glavni turnir žrebna lista'!$A$7:$R$38,17))</f>
        <v>D</v>
      </c>
      <c r="C21" s="73">
        <f>IF($D21="","",VLOOKUP($D21,'[1]m glavni turnir žrebna lista'!$A$7:$R$38,2))</f>
        <v>6166</v>
      </c>
      <c r="D21" s="74">
        <v>7</v>
      </c>
      <c r="E21" s="73" t="str">
        <f>UPPER(IF($D21="","",VLOOKUP($D21,'[1]m glavni turnir žrebna lista'!$A$7:$R$38,3)))</f>
        <v>GAŠPERŠIČ</v>
      </c>
      <c r="F21" s="73" t="str">
        <f>PROPER(IF($D21="","",VLOOKUP($D21,'[1]m glavni turnir žrebna lista'!$A$7:$R$38,4)))</f>
        <v>Žiga</v>
      </c>
      <c r="G21" s="73"/>
      <c r="H21" s="73" t="str">
        <f>IF($D21="","",VLOOKUP($D21,'[1]m glavni turnir žrebna lista'!$A$7:$R$38,5))</f>
        <v>RADOV</v>
      </c>
      <c r="I21" s="105">
        <f>IF($D21="","",VLOOKUP($D21,'[1]m glavni turnir žrebna lista'!$A$7:$R$38,14))</f>
        <v>30</v>
      </c>
      <c r="J21" s="259" t="s">
        <v>97</v>
      </c>
      <c r="K21" s="119"/>
      <c r="L21" s="76"/>
      <c r="M21" s="343"/>
      <c r="N21" s="78"/>
      <c r="O21" s="346"/>
      <c r="P21" s="78"/>
      <c r="Q21" s="79"/>
      <c r="R21" s="82"/>
      <c r="U21" s="314">
        <f>IF($D21="","",VLOOKUP($D21,'[1]m glavni turnir žrebna lista'!$A$7:$R$38,2))</f>
        <v>6166</v>
      </c>
      <c r="V21" s="147">
        <v>15</v>
      </c>
      <c r="W21" s="147" t="str">
        <f>UPPER(IF($D35="","",VLOOKUP($D35,'[1]m glavni turnir žrebna lista'!$A$7:$R$38,3)))</f>
        <v>BIČIČ</v>
      </c>
      <c r="X21" s="147" t="str">
        <f>PROPER(IF($D35="","",VLOOKUP($D35,'[1]m glavni turnir žrebna lista'!$A$7:$R$38,4)))</f>
        <v>Alex</v>
      </c>
      <c r="Y21" s="329">
        <f t="shared" si="0"/>
        <v>15</v>
      </c>
      <c r="Z21" s="329">
        <f>IF(Y21="","",IF(AND($Q$63=1,U36=U35),30,IF(AND($Q$63=2,U36=U35),15,IF(AND($Q$63=3,U36=U35),10,""))))</f>
      </c>
      <c r="AA21" s="329">
        <f>IF(Z21="","",IF(AND($Q$63=1,U35=U34,U34=U36),60,IF(AND($Q$63=2,U35=U34,U34=U36),30,IF(AND($Q$63=3,U35=U34,U34=U36),20,""))))</f>
      </c>
      <c r="AB21" s="329">
        <f>IF(AA21="","",IF(AND($Q$63=1,U30=U34,U34=U35,U35=U36),120,IF(AND($Q$63=2,U30=U34,U34=U35,U35=U36),60,IF(AND($Q$63=3,U30=U34,U34=U35,U35=U36),40,""))))</f>
      </c>
      <c r="AC21" s="329">
        <f>IF(AB21="","",IF(AND($Q$63=1,$U$35=$U$36,$U$36=$U$34,$U$34=$U$30,$U$30=$U$22),120,IF(AND($Q$63=2,$U$35=$U$36,$U$36=$U$34,$U$34=$U$30,$U$30=$U$22),60,IF(AND($Q$63=3,$U$35=$U$36,$U$36=$U$34,$U$34=$U$30,$U$30=$U$22),40,""))))</f>
      </c>
      <c r="AD21" s="329">
        <f>IF(AC21="","",IF(AND($Q$63=1,$U$35=$U$36,$U$36=$U$34,$U$34=$U$30,$U$30=$U$22,$U$38=$U$22),120,IF(AND($Q$63=2,$U$35=$U$36,$U$36=$U$34,$U$34=$U$30,$U$30=$U$22,$U$38=$U$22),60,IF(AND($Q$63=3,$U$35=$U$36,$U$36=$U$34,$U$34=$U$30,$U$30=$U$22,$U$38=$U$22),40,""))))</f>
      </c>
      <c r="AE21" s="337">
        <f t="shared" si="1"/>
        <v>15</v>
      </c>
      <c r="AF21" s="320"/>
      <c r="AG21" s="338"/>
      <c r="AH21" s="338"/>
      <c r="AI21" s="338"/>
      <c r="AJ21" s="338"/>
    </row>
    <row r="22" spans="1:36" s="83" customFormat="1" ht="9" customHeight="1">
      <c r="A22" s="89"/>
      <c r="B22" s="90"/>
      <c r="C22" s="90"/>
      <c r="D22" s="90"/>
      <c r="E22" s="121"/>
      <c r="F22" s="121"/>
      <c r="G22" s="126"/>
      <c r="H22" s="121"/>
      <c r="I22" s="110"/>
      <c r="J22" s="76"/>
      <c r="K22" s="119"/>
      <c r="L22" s="76"/>
      <c r="M22" s="343"/>
      <c r="N22" s="93" t="s">
        <v>23</v>
      </c>
      <c r="O22" s="111" t="s">
        <v>24</v>
      </c>
      <c r="P22" s="95" t="str">
        <f>UPPER(IF(OR(O22="a",O22="as"),N14,IF(OR(O22="b",O22="bs"),N30,)))</f>
        <v>GORŠIČ</v>
      </c>
      <c r="Q22" s="349">
        <f>IF(OR(O22="a",O22="as"),O14,IF(OR(O22="b",O22="bs"),O30,))</f>
        <v>70</v>
      </c>
      <c r="R22" s="82"/>
      <c r="U22" s="314">
        <f>IF(OR(O22="a",O22="as"),$U$14,IF(OR(O22="b",O22="bs"),U30,""))</f>
        <v>5971</v>
      </c>
      <c r="V22" s="147">
        <v>16</v>
      </c>
      <c r="W22" s="344" t="str">
        <f>UPPER(IF($D37="","",VLOOKUP($D37,'[1]m glavni turnir žrebna lista'!$A$7:$R$38,3)))</f>
        <v>VOVK</v>
      </c>
      <c r="X22" s="344" t="str">
        <f>PROPER(IF($D37="","",VLOOKUP($D37,'[1]m glavni turnir žrebna lista'!$A$7:$R$38,4)))</f>
        <v>Gregor</v>
      </c>
      <c r="Y22" s="340">
        <f t="shared" si="0"/>
        <v>15</v>
      </c>
      <c r="Z22" s="340">
        <f>IF(Y22="","",IF(AND($Q$63=1,U37=U36),30,IF(AND($Q$63=2,U37=U36),15,IF(AND($Q$63=3,U37=U36),10,""))))</f>
        <v>15</v>
      </c>
      <c r="AA22" s="340">
        <f>IF(Z22="","",IF(AND($Q$63=1,U36=U34,U34=U37),60,IF(AND($Q$63=2,U36=U34,U34=U37),30,IF(AND($Q$63=3,U36=U34,U34=U37),20,""))))</f>
        <v>30</v>
      </c>
      <c r="AB22" s="340">
        <f>IF(AA22="","",IF(AND($Q$63=1,U30=U34,U34=U36,U36=U37),120,IF(AND($Q$63=2,U30=U34,U34=U36,U36=U37),60,IF(AND($Q$63=3,U30=U34,U34=U36,U36=U37),40,""))))</f>
      </c>
      <c r="AC22" s="340">
        <f>IF(AB22="","",IF(AND($Q$63=1,$U$37=$U$36,$U$36=$U$34,$U$34=$U$30,$U$30=$U$22),120,IF(AND($Q$63=2,$U$37=$U$36,$U$36=$U$34,$U$34=$U$30,$U$30=$U$22),60,IF(AND($Q$63=3,$U$37=$U$36,$U$36=$U$34,$U$34=$U$30,$U$30=$U$22),40,""))))</f>
      </c>
      <c r="AD22" s="340">
        <f>IF(AC22="","",IF(AND($Q$63=1,$U$37=$U$36,$U$36=$U$34,$U$34=$U$30,$U$30=$U$22,$U$38=$U$22),120,IF(AND($Q$63=2,$U$37=$U$36,$U$36=$U$34,$U$34=$U$30,$U$30=$U$22,$U$38=$U$22),60,IF(AND($Q$63=3,$U$37=$U$36,$U$36=$U$34,$U$34=$U$30,$U$30=$U$22,$U$38=$U$22),40,""))))</f>
      </c>
      <c r="AE22" s="341">
        <f t="shared" si="1"/>
        <v>60</v>
      </c>
      <c r="AF22" s="320"/>
      <c r="AG22" s="338"/>
      <c r="AH22" s="338"/>
      <c r="AI22" s="338"/>
      <c r="AJ22" s="338"/>
    </row>
    <row r="23" spans="1:36" s="83" customFormat="1" ht="9" customHeight="1">
      <c r="A23" s="72">
        <v>9</v>
      </c>
      <c r="B23" s="73" t="str">
        <f>IF($D23="","",VLOOKUP($D23,'[1]m glavni turnir žrebna lista'!$A$7:$R$38,17))</f>
        <v>D</v>
      </c>
      <c r="C23" s="73">
        <f>IF($D23="","",VLOOKUP($D23,'[1]m glavni turnir žrebna lista'!$A$7:$R$38,2))</f>
        <v>6449</v>
      </c>
      <c r="D23" s="74">
        <v>3</v>
      </c>
      <c r="E23" s="73" t="str">
        <f>UPPER(IF($D23="","",VLOOKUP($D23,'[1]m glavni turnir žrebna lista'!$A$7:$R$38,3)))</f>
        <v>CAJZEK</v>
      </c>
      <c r="F23" s="73" t="str">
        <f>PROPER(IF($D23="","",VLOOKUP($D23,'[1]m glavni turnir žrebna lista'!$A$7:$R$38,4)))</f>
        <v>Aljaž</v>
      </c>
      <c r="G23" s="73"/>
      <c r="H23" s="73" t="str">
        <f>IF($D23="","",VLOOKUP($D23,'[1]m glavni turnir žrebna lista'!$A$7:$R$38,5))</f>
        <v>ROGAŠ</v>
      </c>
      <c r="I23" s="75">
        <f>IF($D23="","",VLOOKUP($D23,'[1]m glavni turnir žrebna lista'!$A$7:$R$38,14))</f>
        <v>40</v>
      </c>
      <c r="J23" s="76"/>
      <c r="K23" s="119"/>
      <c r="L23" s="76"/>
      <c r="M23" s="343"/>
      <c r="N23" s="78"/>
      <c r="O23" s="346"/>
      <c r="P23" s="259" t="s">
        <v>131</v>
      </c>
      <c r="Q23" s="346"/>
      <c r="R23" s="82"/>
      <c r="U23" s="314">
        <f>IF($D23="","",VLOOKUP($D23,'[1]m glavni turnir žrebna lista'!$A$7:$R$38,2))</f>
        <v>6449</v>
      </c>
      <c r="V23" s="147">
        <v>17</v>
      </c>
      <c r="W23" s="147" t="str">
        <f>UPPER(IF($D39="","",VLOOKUP($D39,'[1]m glavni turnir žrebna lista'!$A$7:$R$38,3)))</f>
        <v>VOVK</v>
      </c>
      <c r="X23" s="147" t="str">
        <f>PROPER(IF($D39="","",VLOOKUP($D39,'[1]m glavni turnir žrebna lista'!$A$7:$R$38,4)))</f>
        <v>Primož</v>
      </c>
      <c r="Y23" s="329">
        <f t="shared" si="0"/>
        <v>15</v>
      </c>
      <c r="Z23" s="329">
        <f>IF(Y23="","",IF(AND($Q$63=1,U40=U39),30,IF(AND($Q$63=2,U40=U39),15,IF(AND($Q$63=3,U40=U39),10,""))))</f>
        <v>15</v>
      </c>
      <c r="AA23" s="329">
        <f>IF(Z23="","",IF(AND($Q$63=1,U39=U40,U40=U42),60,IF(AND($Q$63=2,U39=U40,U40=U42),30,IF(AND($Q$63=3,U39=U40,U40=U42),20,""))))</f>
        <v>30</v>
      </c>
      <c r="AB23" s="329">
        <f>IF(AA23="","",IF(AND($Q$63=1,U46=U42,U42=U40,U40=U39),120,IF(AND($Q$63=2,U46=U42,U42=U40,U40=U39),60,IF(AND($Q$63=3,U46=U42,U42=U40,U40=U39),40,""))))</f>
        <v>60</v>
      </c>
      <c r="AC23" s="329">
        <f>IF(AB23="","",IF(AND($Q$63=1,$U$39=$U$40,$U$40=$U$42,$U$42=$U$46,$U$46=$U$54),120,IF(AND($Q$63=2,$U$39=$U$40,$U$40=$U$42,$U$42=$U$46,$U$46=$U$54),60,IF(AND($Q$63=3,$U$39=$U$40,$U$40=$U$42,$U$42=$U$46,$U$46=$U$54),40,""))))</f>
      </c>
      <c r="AD23" s="329">
        <f>IF(AC23="","",IF(AND($Q$63=1,$U$39=$U$40,$U$40=$U$42,$U$42=$U$46,$U$46=$U$54,$U$38=$U$54),120,IF(AND($Q$63=2,$U$39=$U$40,$U$40=$U$42,$U$42=$U$46,$U$46=$U$54,$U$38=$U$54),60,IF(AND($Q$63=3,$U$39=$U$40,$U$40=$U$42,$U$42=$U$46,$U$46=$U$54,$U$38=$U$54),40,""))))</f>
      </c>
      <c r="AE23" s="337">
        <f t="shared" si="1"/>
        <v>120</v>
      </c>
      <c r="AF23" s="320"/>
      <c r="AG23" s="338"/>
      <c r="AH23" s="338"/>
      <c r="AI23" s="338"/>
      <c r="AJ23" s="338"/>
    </row>
    <row r="24" spans="1:36" s="83" customFormat="1" ht="9" customHeight="1">
      <c r="A24" s="89"/>
      <c r="B24" s="90"/>
      <c r="C24" s="90"/>
      <c r="D24" s="90"/>
      <c r="E24" s="91"/>
      <c r="F24" s="91"/>
      <c r="G24" s="92"/>
      <c r="H24" s="93" t="s">
        <v>23</v>
      </c>
      <c r="I24" s="94" t="s">
        <v>24</v>
      </c>
      <c r="J24" s="95" t="str">
        <f>UPPER(IF(OR(I24="a",I24="as"),E23,IF(OR(I24="b",I24="bs"),E25,)))</f>
        <v>CAJZEK</v>
      </c>
      <c r="K24" s="96">
        <f>IF(OR(I24="a",I24="as"),I23,IF(OR(I24="b",I24="bs"),I25,))</f>
        <v>40</v>
      </c>
      <c r="L24" s="76"/>
      <c r="M24" s="343"/>
      <c r="N24" s="78"/>
      <c r="O24" s="346"/>
      <c r="P24" s="78"/>
      <c r="Q24" s="346"/>
      <c r="R24" s="82"/>
      <c r="U24" s="314">
        <f>IF(OR(I24="a",I24="as"),C23,IF(OR(I24="b",I24="bs"),C25,""))</f>
        <v>6449</v>
      </c>
      <c r="V24" s="147">
        <v>18</v>
      </c>
      <c r="W24" s="344" t="str">
        <f>UPPER(IF($D41="","",VLOOKUP($D41,'[1]m glavni turnir žrebna lista'!$A$7:$R$38,3)))</f>
        <v>DERNIČ</v>
      </c>
      <c r="X24" s="344" t="str">
        <f>PROPER(IF($D41="","",VLOOKUP($D41,'[1]m glavni turnir žrebna lista'!$A$7:$R$38,4)))</f>
        <v>Žiga</v>
      </c>
      <c r="Y24" s="340">
        <f t="shared" si="0"/>
        <v>15</v>
      </c>
      <c r="Z24" s="340">
        <f>IF(Y24="","",IF(AND($Q$63=1,U41=U40),30,IF(AND($Q$63=2,U41=U40),15,IF(AND($Q$63=3,U41=U40),10,""))))</f>
      </c>
      <c r="AA24" s="340">
        <f>IF(Z24="","",IF(AND($Q$63=1,U40=U41,U41=U42),60,IF(AND($Q$63=2,U40=U41,U41=U42),30,IF(AND($Q$63=3,U40=U41,U41=U42),20,""))))</f>
      </c>
      <c r="AB24" s="340">
        <f>IF(AA24="","",IF(AND($Q$63=1,U46=U42,U42=U40,U40=U41),120,IF(AND($Q$63=2,U46=U42,U42=U40,U40=U41),60,IF(AND($Q$63=3,U46=U42,U42=U40,U41=U40),40,""))))</f>
      </c>
      <c r="AC24" s="340">
        <f>IF(AB24="","",IF(AND($Q$63=1,$U$41=$U$40,$U$40=$U$42,$U$42=$U$46,$U$46=$U$54),120,IF(AND($Q$63=2,$U$41=$U$40,$U$40=$U$42,$U$42=$U$46,$U$46=$U$54),60,IF(AND($Q$63=3,$U$41=$U$40,$U$40=$U$42,$U$42=$U$46,$U$46=$U$54),40,""))))</f>
      </c>
      <c r="AD24" s="340">
        <f>IF(AC24="","",IF(AND($Q$63=1,$U$41=$U$40,$U$40=$U$42,$U$42=$U$46,$U$46=$U$54,$U$38=$U$54),120,IF(AND($Q$63=2,$U$41=$U$40,$U$40=$U$42,$U$42=$U$46,$U$46=$U$54,$U$38=$U$54),60,IF(AND($Q$63=3,$U$41=$U$40,$U$40=$U$42,$U$42=$U$46,$U$46=$U$54,$U$38=$U$54),40,""))))</f>
      </c>
      <c r="AE24" s="341">
        <f t="shared" si="1"/>
        <v>15</v>
      </c>
      <c r="AF24" s="320"/>
      <c r="AG24" s="338"/>
      <c r="AH24" s="338"/>
      <c r="AI24" s="338"/>
      <c r="AJ24" s="338"/>
    </row>
    <row r="25" spans="1:36" s="83" customFormat="1" ht="9" customHeight="1">
      <c r="A25" s="89">
        <v>10</v>
      </c>
      <c r="B25" s="103" t="str">
        <f>IF($D25="","",VLOOKUP($D25,'[1]m glavni turnir žrebna lista'!$A$7:$R$38,17))</f>
        <v>D</v>
      </c>
      <c r="C25" s="103">
        <f>IF($D25="","",VLOOKUP($D25,'[1]m glavni turnir žrebna lista'!$A$7:$R$38,2))</f>
        <v>6368</v>
      </c>
      <c r="D25" s="74">
        <v>13</v>
      </c>
      <c r="E25" s="104" t="str">
        <f>UPPER(IF($D25="","",VLOOKUP($D25,'[1]m glavni turnir žrebna lista'!$A$7:$R$38,3)))</f>
        <v>KEGL</v>
      </c>
      <c r="F25" s="104" t="str">
        <f>PROPER(IF($D25="","",VLOOKUP($D25,'[1]m glavni turnir žrebna lista'!$A$7:$R$38,4)))</f>
        <v>Marino</v>
      </c>
      <c r="G25" s="104"/>
      <c r="H25" s="104" t="str">
        <f>IF($D25="","",VLOOKUP($D25,'[1]m glavni turnir žrebna lista'!$A$7:$R$38,5))</f>
        <v>TENMS</v>
      </c>
      <c r="I25" s="105">
        <f>IF($D25="","",VLOOKUP($D25,'[1]m glavni turnir žrebna lista'!$A$7:$R$38,14))</f>
        <v>20</v>
      </c>
      <c r="J25" s="259" t="s">
        <v>98</v>
      </c>
      <c r="K25" s="107"/>
      <c r="L25" s="76"/>
      <c r="M25" s="343"/>
      <c r="N25" s="78"/>
      <c r="O25" s="346"/>
      <c r="P25" s="78"/>
      <c r="Q25" s="346"/>
      <c r="R25" s="82"/>
      <c r="U25" s="314">
        <f>IF($D25="","",VLOOKUP($D25,'[1]m glavni turnir žrebna lista'!$A$7:$R$38,2))</f>
        <v>6368</v>
      </c>
      <c r="V25" s="147">
        <v>19</v>
      </c>
      <c r="W25" s="147" t="str">
        <f>UPPER(IF($D43="","",VLOOKUP($D43,'[1]m glavni turnir žrebna lista'!$A$7:$R$38,3)))</f>
        <v>FRANK</v>
      </c>
      <c r="X25" s="147" t="str">
        <f>PROPER(IF($D43="","",VLOOKUP($D43,'[1]m glavni turnir žrebna lista'!$A$7:$R$38,4)))</f>
        <v>Jure</v>
      </c>
      <c r="Y25" s="329">
        <f t="shared" si="0"/>
        <v>15</v>
      </c>
      <c r="Z25" s="329">
        <f>IF(Y25="","",IF(AND($Q$63=1,U44=U43),30,IF(AND($Q$63=2,U44=U43),15,IF(AND($Q$63=3,U44=U43),10,""))))</f>
        <v>15</v>
      </c>
      <c r="AA25" s="329">
        <f>IF(Z25="","",IF(AND($Q$63=1,U44=U42,U44=U43),60,IF(AND($Q$63=2,U42=U44,U44=U43),30,IF(AND($Q$63=3,U42=U44,U44=U43),20,""))))</f>
      </c>
      <c r="AB25" s="329">
        <f>IF(AA25="","",IF(AND($Q$63=1,U46=U42,U42=U44,U44=U43),120,IF(AND($Q$63=2,U46=U42,U42=U44,U44=U43),60,IF(AND($Q$63=3,U46=U42,U42=U44,U44=U43),40,""))))</f>
      </c>
      <c r="AC25" s="329">
        <f>IF(AB25="","",IF(AND($Q$63=1,$U$43=$U$44,$U$44=$U$42,$U$42=$U$46,$U$46=$U$54),120,IF(AND($Q$63=2,$U$43=$U$44,$U$44=$U$42,$U$42=$U$46,$U$46=$U$54),60,IF(AND($Q$63=3,$U$43=$U$44,$U$44=$U$42,$U$42=$U$46,$U$46=$U$54),40,""))))</f>
      </c>
      <c r="AD25" s="329">
        <f>IF(AC25="","",IF(AND($Q$63=1,$U$43=$U$44,$U$44=$U$42,$U$42=$U$46,$U$46=$U$54,$U$38=$U$54),120,IF(AND($Q$63=2,$U$43=$U$44,$U$44=$U$42,$U$42=$U$46,$U$46=$U$54,$U$38=$U$54),60,IF(AND($Q$63=3,$U$43=$U$44,$U$44=$U$42,$U$42=$U$46,$U$46=$U$54,$U$38=$U$54),40,""))))</f>
      </c>
      <c r="AE25" s="337">
        <f t="shared" si="1"/>
        <v>30</v>
      </c>
      <c r="AF25" s="320"/>
      <c r="AG25" s="338"/>
      <c r="AH25" s="338"/>
      <c r="AI25" s="338"/>
      <c r="AJ25" s="338"/>
    </row>
    <row r="26" spans="1:36" s="83" customFormat="1" ht="9" customHeight="1">
      <c r="A26" s="89"/>
      <c r="B26" s="90"/>
      <c r="C26" s="90"/>
      <c r="D26" s="109"/>
      <c r="E26" s="91"/>
      <c r="F26" s="91"/>
      <c r="G26" s="92"/>
      <c r="H26" s="91"/>
      <c r="I26" s="110"/>
      <c r="J26" s="93" t="s">
        <v>23</v>
      </c>
      <c r="K26" s="111" t="s">
        <v>24</v>
      </c>
      <c r="L26" s="95" t="str">
        <f>UPPER(IF(OR(K26="a",K26="as"),J24,IF(OR(K26="b",K26="bs"),J28,)))</f>
        <v>CAJZEK</v>
      </c>
      <c r="M26" s="342">
        <f>IF(OR(K26="a",K26="as"),K24,IF(OR(K26="b",K26="bs"),K28,))</f>
        <v>40</v>
      </c>
      <c r="N26" s="78"/>
      <c r="O26" s="346"/>
      <c r="P26" s="78"/>
      <c r="Q26" s="346"/>
      <c r="R26" s="82"/>
      <c r="U26" s="314">
        <f>IF(OR(K26="a",K26="as"),U24,IF(OR(K26="b",K26="bs"),U28,""))</f>
        <v>6449</v>
      </c>
      <c r="V26" s="147">
        <v>20</v>
      </c>
      <c r="W26" s="344" t="str">
        <f>UPPER(IF($D45="","",VLOOKUP($D45,'[1]m glavni turnir žrebna lista'!$A$7:$R$38,3)))</f>
        <v>ŽMAVC</v>
      </c>
      <c r="X26" s="344" t="str">
        <f>PROPER(IF($D45="","",VLOOKUP($D45,'[1]m glavni turnir žrebna lista'!$A$7:$R$38,4)))</f>
        <v>Žan</v>
      </c>
      <c r="Y26" s="340">
        <f t="shared" si="0"/>
        <v>15</v>
      </c>
      <c r="Z26" s="340">
        <f>IF(Y26="","",IF(AND($Q$63=1,U45=U44),30,IF(AND($Q$63=2,U45=U44),15,IF(AND($Q$63=3,U45=U44),10,""))))</f>
      </c>
      <c r="AA26" s="340">
        <f>IF(Z26="","",IF(AND($Q$63=1,U45=U42,U45=U44),60,IF(AND($Q$63=2,U42=U45,U45=U44),30,IF(AND($Q$63=3,U42=U45,U45=U44),20,""))))</f>
      </c>
      <c r="AB26" s="340">
        <f>IF(AA26="","",IF(AND($Q$63=1,U46=U42,U42=U44,U45=U44),120,IF(AND($Q$63=2,U46=U42,U42=U44,U45=U44),60,IF(AND($Q$63=3,U46=U42,U42=U44,U45=U44),40,""))))</f>
      </c>
      <c r="AC26" s="340">
        <f>IF(AB26="","",IF(AND($Q$63=1,$U$45=$U$44,$U$44=$U$42,$U$42=$U$46,$U$46=$U$54),120,IF(AND($Q$63=2,$U$45=$U$44,$U$44=$U$42,$U$42=$U$46,$U$46=$U$54),60,IF(AND($Q$63=3,$U$45=$U$44,$U$44=$U$42,$U$42=$U$46,$U$46=$U$54),40,""))))</f>
      </c>
      <c r="AD26" s="340">
        <f>IF(AC26="","",IF(AND($Q$63=1,$U$45=$U$44,$U$44=$U$42,$U$42=$U$46,$U$46=$U$54,$U$38=$U$54),120,IF(AND($Q$63=2,$U$45=$U$44,$U$44=$U$42,$U$42=$U$46,$U$46=$U$54,$U$38=$U$54),60,IF(AND($Q$63=3,$U$45=$U$44,$U$44=$U$42,$U$42=$U$46,$U$46=$U$54,$U$38=$U$54),40,""))))</f>
      </c>
      <c r="AE26" s="341">
        <f t="shared" si="1"/>
        <v>15</v>
      </c>
      <c r="AF26" s="320"/>
      <c r="AG26" s="338"/>
      <c r="AH26" s="338"/>
      <c r="AI26" s="338"/>
      <c r="AJ26" s="338"/>
    </row>
    <row r="27" spans="1:36" s="83" customFormat="1" ht="9" customHeight="1">
      <c r="A27" s="89">
        <v>11</v>
      </c>
      <c r="B27" s="103" t="str">
        <f>IF($D27="","",VLOOKUP($D27,'[1]m glavni turnir žrebna lista'!$A$7:$R$38,17))</f>
        <v>L</v>
      </c>
      <c r="C27" s="103">
        <f>IF($D27="","",VLOOKUP($D27,'[1]m glavni turnir žrebna lista'!$A$7:$R$38,2))</f>
        <v>6030</v>
      </c>
      <c r="D27" s="74">
        <v>20</v>
      </c>
      <c r="E27" s="104" t="str">
        <f>UPPER(IF($D27="","",VLOOKUP($D27,'[1]m glavni turnir žrebna lista'!$A$7:$R$38,3)))</f>
        <v>HOBACHER</v>
      </c>
      <c r="F27" s="104" t="str">
        <f>PROPER(IF($D27="","",VLOOKUP($D27,'[1]m glavni turnir žrebna lista'!$A$7:$R$38,4)))</f>
        <v>Dominik</v>
      </c>
      <c r="G27" s="104"/>
      <c r="H27" s="104" t="str">
        <f>IF($D27="","",VLOOKUP($D27,'[1]m glavni turnir žrebna lista'!$A$7:$R$38,5))</f>
        <v>TKCEN</v>
      </c>
      <c r="I27" s="75">
        <f>IF($D27="","",VLOOKUP($D27,'[1]m glavni turnir žrebna lista'!$A$7:$R$38,14))</f>
        <v>10</v>
      </c>
      <c r="J27" s="76"/>
      <c r="K27" s="114"/>
      <c r="L27" s="259" t="s">
        <v>151</v>
      </c>
      <c r="M27" s="345"/>
      <c r="N27" s="78"/>
      <c r="O27" s="346"/>
      <c r="P27" s="78"/>
      <c r="Q27" s="346"/>
      <c r="R27" s="82"/>
      <c r="U27" s="314">
        <f>IF($D27="","",VLOOKUP($D27,'[1]m glavni turnir žrebna lista'!$A$7:$R$38,2))</f>
        <v>6030</v>
      </c>
      <c r="V27" s="147">
        <v>21</v>
      </c>
      <c r="W27" s="147" t="str">
        <f>UPPER(IF($D47="","",VLOOKUP($D47,'[1]m glavni turnir žrebna lista'!$A$7:$R$38,3)))</f>
        <v>JANŠA</v>
      </c>
      <c r="X27" s="147" t="str">
        <f>PROPER(IF($D47="","",VLOOKUP($D47,'[1]m glavni turnir žrebna lista'!$A$7:$R$38,4)))</f>
        <v>Vid</v>
      </c>
      <c r="Y27" s="329">
        <f t="shared" si="0"/>
        <v>15</v>
      </c>
      <c r="Z27" s="329">
        <f>IF(Y27="","",IF(AND($Q$63=1,U48=U47),30,IF(AND($Q$63=2,U48=U47),15,IF(AND($Q$63=3,U48=U47),10,""))))</f>
      </c>
      <c r="AA27" s="329">
        <f>IF(Z27="","",IF(AND($Q$63=1,U50=U48,U48=U47),60,IF(AND($Q$63=2,U50=U48,U48=U47),30,IF(AND($Q$63=3,U50=U48,U48=U47),20,""))))</f>
      </c>
      <c r="AB27" s="329">
        <f>IF(AA27="","",IF(AND($Q$63=1,U46=U50,U50=U48,U48=U47),120,IF(AND($Q$63=2,U46=U50,U50=U48,U48=U47),60,IF(AND($Q$63=3,U46=U50,U50=U48,U48=U47),40,""))))</f>
      </c>
      <c r="AC27" s="329">
        <f>IF(AB27="","",IF(AND($Q$63=1,$U$47=$U$48,$U$48=$U$50,$U$50=$U$46,$U$46=$U$54),120,IF(AND($Q$63=2,$U$47=$U$48,$U$48=$U$50,$U$50=$U$46,$U$46=$U$54),60,IF(AND($Q$63=3,$U$47=$U$48,$U$48=$U$50,$U$50=$U$46,$U$46=$U$54),40,""))))</f>
      </c>
      <c r="AD27" s="329">
        <f>IF(AC27="","",IF(AND($Q$63=1,$U$47=$U$48,$U$48=$U$50,$U$50=$U$46,$U$46=$U$54,$U$38=$U$54),120,IF(AND($Q$63=2,$U$47=$U$48,$U$48=$U$50,$U$50=$U$46,$U$46=$U$54,$U$38=$U$54),60,IF(AND($Q$63=3,$U$47=$U$48,$U$48=$U$50,$U$50=$U$46,$U$46=$U$54,$U$38=$U$54),40,""))))</f>
      </c>
      <c r="AE27" s="337">
        <f t="shared" si="1"/>
        <v>15</v>
      </c>
      <c r="AF27" s="320"/>
      <c r="AG27" s="338"/>
      <c r="AH27" s="338"/>
      <c r="AI27" s="338"/>
      <c r="AJ27" s="338"/>
    </row>
    <row r="28" spans="1:36" s="83" customFormat="1" ht="9" customHeight="1">
      <c r="A28" s="127"/>
      <c r="B28" s="90"/>
      <c r="C28" s="90"/>
      <c r="D28" s="109"/>
      <c r="E28" s="91"/>
      <c r="F28" s="91"/>
      <c r="G28" s="92"/>
      <c r="H28" s="93" t="s">
        <v>23</v>
      </c>
      <c r="I28" s="94" t="s">
        <v>26</v>
      </c>
      <c r="J28" s="95" t="str">
        <f>UPPER(IF(OR(I28="a",I28="as"),E27,IF(OR(I28="b",I28="bs"),E29,)))</f>
        <v>GAŠPERŠIČ</v>
      </c>
      <c r="K28" s="117">
        <f>IF(OR(I28="a",I28="as"),I27,IF(OR(I28="b",I28="bs"),I29,))</f>
        <v>20</v>
      </c>
      <c r="L28" s="76"/>
      <c r="M28" s="345"/>
      <c r="N28" s="78"/>
      <c r="O28" s="346"/>
      <c r="P28" s="78"/>
      <c r="Q28" s="346"/>
      <c r="R28" s="82"/>
      <c r="U28" s="314">
        <f>IF(OR(I28="a",I28="as"),C27,IF(OR(I28="b",I28="bs"),C29,""))</f>
        <v>6165</v>
      </c>
      <c r="V28" s="147">
        <v>22</v>
      </c>
      <c r="W28" s="344" t="str">
        <f>UPPER(IF($D49="","",VLOOKUP($D49,'[1]m glavni turnir žrebna lista'!$A$7:$R$38,3)))</f>
        <v>NIKOLAŠ</v>
      </c>
      <c r="X28" s="344" t="str">
        <f>PROPER(IF($D49="","",VLOOKUP($D49,'[1]m glavni turnir žrebna lista'!$A$7:$R$38,4)))</f>
        <v>Klemen</v>
      </c>
      <c r="Y28" s="340">
        <f t="shared" si="0"/>
        <v>15</v>
      </c>
      <c r="Z28" s="340">
        <f>IF(Y28="","",IF(AND($Q$63=1,U49=U48),30,IF(AND($Q$63=2,U49=U48),15,IF(AND($Q$63=3,U49=U48),10,""))))</f>
        <v>15</v>
      </c>
      <c r="AA28" s="340">
        <f>IF(Z28="","",IF(AND($Q$63=1,U50=U49,U49=U48),60,IF(AND($Q$63=2,U50=U49,U49=U48),30,IF(AND($Q$63=3,U50=U49,U49=U48),20,""))))</f>
      </c>
      <c r="AB28" s="340">
        <f>IF(AA28="","",IF(AND($Q$63=1,U46=U50,U50=U48,U49=U48),120,IF(AND($Q$63=2,U46=U50,U50=U48,U48=U49),60,IF(AND($Q$63=3,U46=U50,U50=U48,U49=U48),40,""))))</f>
      </c>
      <c r="AC28" s="340">
        <f>IF(AB28="","",IF(AND($Q$63=1,$U$49=$U$48,$U$48=$U$50,$U$50=$U$46,$U$46=$U$54),120,IF(AND($Q$63=2,$U$49=$U$48,$U$48=$U$50,$U$50=$U$46,$U$46=$U$54),60,IF(AND($Q$63=3,$U$49=$U$48,$U$48=$U$50,$U$50=$U$46,$U$46=$U$54),40,""))))</f>
      </c>
      <c r="AD28" s="340">
        <f>IF(AC28="","",IF(AND($Q$63=1,$U$49=$U$48,$U$48=$U$50,$U$50=$U$46,$U$46=$U$54,$U$38=$U$54),120,IF(AND($Q$63=2,$U$49=$U$48,$U$48=$U$50,$U$50=$U$46,$U$46=$U$54,$U$38=$U$54),60,IF(AND($Q$63=3,$U$49=$U$48,$U$48=$U$50,$U$50=$U$46,$U$46=$U$54,$U$38=$U$54),40,""))))</f>
      </c>
      <c r="AE28" s="341">
        <f t="shared" si="1"/>
        <v>30</v>
      </c>
      <c r="AF28" s="320"/>
      <c r="AG28" s="338"/>
      <c r="AH28" s="338"/>
      <c r="AI28" s="338"/>
      <c r="AJ28" s="338"/>
    </row>
    <row r="29" spans="1:36" s="83" customFormat="1" ht="9" customHeight="1">
      <c r="A29" s="89">
        <v>12</v>
      </c>
      <c r="B29" s="103" t="str">
        <f>IF($D29="","",VLOOKUP($D29,'[1]m glavni turnir žrebna lista'!$A$7:$R$38,17))</f>
        <v>D</v>
      </c>
      <c r="C29" s="103">
        <f>IF($D29="","",VLOOKUP($D29,'[1]m glavni turnir žrebna lista'!$A$7:$R$38,2))</f>
        <v>6165</v>
      </c>
      <c r="D29" s="74">
        <v>10</v>
      </c>
      <c r="E29" s="104" t="str">
        <f>UPPER(IF($D29="","",VLOOKUP($D29,'[1]m glavni turnir žrebna lista'!$A$7:$R$38,3)))</f>
        <v>GAŠPERŠIČ</v>
      </c>
      <c r="F29" s="104" t="str">
        <f>PROPER(IF($D29="","",VLOOKUP($D29,'[1]m glavni turnir žrebna lista'!$A$7:$R$38,4)))</f>
        <v>Gregor</v>
      </c>
      <c r="G29" s="104"/>
      <c r="H29" s="104" t="str">
        <f>IF($D29="","",VLOOKUP($D29,'[1]m glavni turnir žrebna lista'!$A$7:$R$38,5))</f>
        <v>RADOV</v>
      </c>
      <c r="I29" s="105">
        <f>IF($D29="","",VLOOKUP($D29,'[1]m glavni turnir žrebna lista'!$A$7:$R$38,14))</f>
        <v>20</v>
      </c>
      <c r="J29" s="259" t="s">
        <v>99</v>
      </c>
      <c r="K29" s="119">
        <f>IF(OR(I29="a",I29="as"),I28,IF(OR(I29="b",I29="bs"),I30,))</f>
        <v>0</v>
      </c>
      <c r="L29" s="76"/>
      <c r="M29" s="345"/>
      <c r="N29" s="78"/>
      <c r="O29" s="346"/>
      <c r="P29" s="78"/>
      <c r="Q29" s="346"/>
      <c r="R29" s="82"/>
      <c r="U29" s="314">
        <f>IF($D29="","",VLOOKUP($D29,'[1]m glavni turnir žrebna lista'!$A$7:$R$38,2))</f>
        <v>6165</v>
      </c>
      <c r="V29" s="147">
        <v>23</v>
      </c>
      <c r="W29" s="147" t="str">
        <f>UPPER(IF($D51="","",VLOOKUP($D51,'[1]m glavni turnir žrebna lista'!$A$7:$R$38,3)))</f>
        <v>ČUK</v>
      </c>
      <c r="X29" s="147" t="str">
        <f>PROPER(IF($D51="","",VLOOKUP($D51,'[1]m glavni turnir žrebna lista'!$A$7:$R$38,4)))</f>
        <v>Mark</v>
      </c>
      <c r="Y29" s="329">
        <f t="shared" si="0"/>
        <v>15</v>
      </c>
      <c r="Z29" s="329">
        <f>IF(Y29="","",IF(AND($Q$63=1,U52=U51),30,IF(AND($Q$63=2,U52=U51),15,IF(AND($Q$63=3,U52=U51),10,""))))</f>
      </c>
      <c r="AA29" s="329">
        <f>IF(Z29="","",IF(AND($Q$63=1,U51=U50,U50=U52),60,IF(AND($Q$63=2,U51=U50,U50=U52),30,IF(AND($Q$63=3,U51=U50,U50=U52),20,""))))</f>
      </c>
      <c r="AB29" s="329">
        <f>IF(AA29="","",IF(AND($Q$63=1,U46=U50,U50=U52,U52=U51),120,IF(AND($Q$63=2,U46=U50,U50=U52,U52=U51),60,IF(AND($Q$63=3,U46=U50,U50=U52,U52=U51),40,""))))</f>
      </c>
      <c r="AC29" s="329">
        <f>IF(AB29="","",IF(AND($Q$63=1,$U$51=$U$52,$U$52=$U$50,$U$50=$U$46,$U$46=$U$54),120,IF(AND($Q$63=2,$U$51=$U$52,$U$52=$U$50,$U$50=$U$46,$U$46=$U$54),60,IF(AND($Q$63=3,$U$51=$U$52,$U$52=$U$50,$U$50=$U$46,$U$46=$U$54),40,""))))</f>
      </c>
      <c r="AD29" s="329">
        <f>IF(AC29="","",IF(AND($Q$63=1,$U$51=$U$52,$U$52=$U$50,$U$50=$U$46,$U$46=$U$54,$U$38=$U$54),120,IF(AND($Q$63=2,$U$51=$U$52,$U$52=$U$50,$U$50=$U$46,$U$46=$U$54,$U$38=$U$54),60,IF(AND($Q$63=3,$U$51=$U$52,$U$52=$U$50,$U$50=$U$46,$U$46=$U$54,$U$38=$U$54),40,""))))</f>
      </c>
      <c r="AE29" s="337">
        <f t="shared" si="1"/>
        <v>15</v>
      </c>
      <c r="AF29" s="320"/>
      <c r="AG29" s="338"/>
      <c r="AH29" s="338"/>
      <c r="AI29" s="338"/>
      <c r="AJ29" s="338"/>
    </row>
    <row r="30" spans="1:36" s="83" customFormat="1" ht="9" customHeight="1">
      <c r="A30" s="89"/>
      <c r="B30" s="90"/>
      <c r="C30" s="90"/>
      <c r="D30" s="109"/>
      <c r="E30" s="76"/>
      <c r="F30" s="76"/>
      <c r="G30" s="120"/>
      <c r="H30" s="121"/>
      <c r="I30" s="110"/>
      <c r="J30" s="76"/>
      <c r="K30" s="119"/>
      <c r="L30" s="93" t="s">
        <v>23</v>
      </c>
      <c r="M30" s="111" t="s">
        <v>156</v>
      </c>
      <c r="N30" s="95" t="str">
        <f>UPPER(IF(OR(M30="a",M30="as"),L26,IF(OR(M30="b",M30="bs"),L34,)))</f>
        <v>CAJZEK</v>
      </c>
      <c r="O30" s="350">
        <f>IF(OR(M30="a",M30="as"),M26,IF(OR(M30="b",M30="bs"),M34,))</f>
        <v>40</v>
      </c>
      <c r="P30" s="78"/>
      <c r="Q30" s="346"/>
      <c r="R30" s="82"/>
      <c r="U30" s="314">
        <f>IF(OR(M30="a",M30="as"),U26,IF(OR(M30="b",M30="bs"),U34,""))</f>
        <v>6449</v>
      </c>
      <c r="V30" s="147">
        <v>24</v>
      </c>
      <c r="W30" s="344" t="str">
        <f>UPPER(IF($D53="","",VLOOKUP($D53,'[1]m glavni turnir žrebna lista'!$A$7:$R$38,3)))</f>
        <v>OGOREVC</v>
      </c>
      <c r="X30" s="344" t="str">
        <f>PROPER(IF($D53="","",VLOOKUP($D53,'[1]m glavni turnir žrebna lista'!$A$7:$R$38,4)))</f>
        <v>Nace</v>
      </c>
      <c r="Y30" s="340">
        <f t="shared" si="0"/>
        <v>15</v>
      </c>
      <c r="Z30" s="340">
        <f>IF(Y30="","",IF(AND($Q$63=1,U53=U52),30,IF(AND($Q$63=2,U53=U52),15,IF(AND($Q$63=3,U53=U52),10,""))))</f>
        <v>15</v>
      </c>
      <c r="AA30" s="340">
        <f>IF(Z30="","",IF(AND($Q$63=1,U52=U50,U52=U53),60,IF(AND($Q$63=2,U52=U50,U52=U53),30,IF(AND($Q$63=3,U52=U50,U52=U53),20,""))))</f>
        <v>30</v>
      </c>
      <c r="AB30" s="340">
        <f>IF(AA30="","",IF(AND($Q$63=1,U46=U50,U50=U52,U53=U52),120,IF(AND($Q$63=2,U46=U50,U50=U52,U53=U52),60,IF(AND($Q$63=3,U46=U50,U50=U52,U53=U52),40,""))))</f>
      </c>
      <c r="AC30" s="340">
        <f>IF(AB30="","",IF(AND($Q$63=1,$U$53=$U$52,$U$52=$U$50,$U$50=$U$46,$U$46=$U$54),120,IF(AND($Q$63=2,$U$53=$U$52,$U$52=$U$50,$U$50=$U$46,$U$46=$U$54),60,IF(AND($Q$63=3,$U$53=$U$52,$U$52=$U$50,$U$50=$U$46,$U$46=$U$54),40,""))))</f>
      </c>
      <c r="AD30" s="340">
        <f>IF(AC30="","",IF(AND($Q$63=1,$U$53=$U$52,$U$52=$U$50,$U$50=$U$46,$U$46=$U$54,$U$38=$U$54),120,IF(AND($Q$63=2,$U$53=$U$52,$U$52=$U$50,$U$50=$U$46,$U$46=$U$54,$U$38=$U$54),60,IF(AND($Q$63=3,$U$53=$U$52,$U$52=$U$50,$U$50=$U$46,$U$46=$U$54,$U$38=$U$54),40,""))))</f>
      </c>
      <c r="AE30" s="341">
        <f t="shared" si="1"/>
        <v>60</v>
      </c>
      <c r="AF30" s="320"/>
      <c r="AG30" s="338"/>
      <c r="AH30" s="338"/>
      <c r="AI30" s="338"/>
      <c r="AJ30" s="338"/>
    </row>
    <row r="31" spans="1:36" s="83" customFormat="1" ht="9" customHeight="1">
      <c r="A31" s="89">
        <v>13</v>
      </c>
      <c r="B31" s="103" t="str">
        <f>IF($D31="","",VLOOKUP($D31,'[1]m glavni turnir žrebna lista'!$A$7:$R$38,17))</f>
        <v>D</v>
      </c>
      <c r="C31" s="103">
        <f>IF($D31="","",VLOOKUP($D31,'[1]m glavni turnir žrebna lista'!$A$7:$R$38,2))</f>
        <v>6576</v>
      </c>
      <c r="D31" s="74">
        <v>14</v>
      </c>
      <c r="E31" s="104" t="str">
        <f>UPPER(IF($D31="","",VLOOKUP($D31,'[1]m glavni turnir žrebna lista'!$A$7:$R$38,3)))</f>
        <v>DERNIČ</v>
      </c>
      <c r="F31" s="104" t="str">
        <f>PROPER(IF($D31="","",VLOOKUP($D31,'[1]m glavni turnir žrebna lista'!$A$7:$R$38,4)))</f>
        <v>Jan</v>
      </c>
      <c r="G31" s="104"/>
      <c r="H31" s="104" t="str">
        <f>IF($D31="","",VLOOKUP($D31,'[1]m glavni turnir žrebna lista'!$A$7:$R$38,5))</f>
        <v>PORTO</v>
      </c>
      <c r="I31" s="75">
        <f>IF($D31="","",VLOOKUP($D31,'[1]m glavni turnir žrebna lista'!$A$7:$R$38,14))</f>
        <v>20</v>
      </c>
      <c r="J31" s="76"/>
      <c r="K31" s="119"/>
      <c r="L31" s="76"/>
      <c r="M31" s="345"/>
      <c r="N31" s="259" t="s">
        <v>159</v>
      </c>
      <c r="O31" s="79"/>
      <c r="P31" s="78"/>
      <c r="Q31" s="346"/>
      <c r="R31" s="82"/>
      <c r="U31" s="314">
        <f>IF($D31="","",VLOOKUP($D31,'[1]m glavni turnir žrebna lista'!$A$7:$R$38,2))</f>
        <v>6576</v>
      </c>
      <c r="V31" s="147">
        <v>25</v>
      </c>
      <c r="W31" s="147" t="str">
        <f>UPPER(IF($D55="","",VLOOKUP($D55,'[1]m glavni turnir žrebna lista'!$A$7:$R$38,3)))</f>
        <v>GERMIČ</v>
      </c>
      <c r="X31" s="147" t="str">
        <f>PROPER(IF($D55="","",VLOOKUP($D55,'[1]m glavni turnir žrebna lista'!$A$7:$R$38,4)))</f>
        <v>Aleš</v>
      </c>
      <c r="Y31" s="329">
        <f t="shared" si="0"/>
        <v>15</v>
      </c>
      <c r="Z31" s="329">
        <f>IF(Y31="","",IF(AND($Q$63=1,U56=U55),30,IF(AND($Q$63=2,U56=U55),15,IF(AND($Q$63=3,U56=U55),10,""))))</f>
        <v>15</v>
      </c>
      <c r="AA31" s="329">
        <v>30</v>
      </c>
      <c r="AB31" s="329">
        <v>60</v>
      </c>
      <c r="AC31" s="329">
        <v>60</v>
      </c>
      <c r="AD31" s="329">
        <f>IF(AC31="","",IF(AND($Q$63=1,$U$55=$U$56,$U$56=$U$58,$U$58=$U$62,$U$62=$U$54,$U$38=$U$54),120,IF(AND($Q$63=2,$U$55=$U$56,$U$56=$U$58,$U$58=$U$62,$U$62=$U$54,$U$38=$U$54),60,IF(AND($Q$63=3,$U$55=$U$56,$U$56=$U$58,$U$58=$U$62,$U$62=$U$54,$U$38=$U$54),40,""))))</f>
      </c>
      <c r="AE31" s="337">
        <f t="shared" si="1"/>
        <v>180</v>
      </c>
      <c r="AF31" s="320"/>
      <c r="AG31" s="338"/>
      <c r="AH31" s="338"/>
      <c r="AI31" s="338"/>
      <c r="AJ31" s="338"/>
    </row>
    <row r="32" spans="1:36" s="83" customFormat="1" ht="9" customHeight="1">
      <c r="A32" s="89"/>
      <c r="B32" s="90"/>
      <c r="C32" s="90"/>
      <c r="D32" s="109"/>
      <c r="E32" s="91"/>
      <c r="F32" s="91"/>
      <c r="G32" s="92"/>
      <c r="H32" s="93" t="s">
        <v>23</v>
      </c>
      <c r="I32" s="94" t="s">
        <v>27</v>
      </c>
      <c r="J32" s="95" t="str">
        <f>UPPER(IF(OR(I32="a",I32="as"),E31,IF(OR(I32="b",I32="bs"),E33,)))</f>
        <v>DERNIČ</v>
      </c>
      <c r="K32" s="96">
        <f>IF(OR(I32="a",I32="as"),I31,IF(OR(I32="b",I32="bs"),I33,))</f>
        <v>20</v>
      </c>
      <c r="L32" s="76"/>
      <c r="M32" s="345"/>
      <c r="N32" s="78"/>
      <c r="O32" s="79"/>
      <c r="P32" s="78"/>
      <c r="Q32" s="346"/>
      <c r="R32" s="82"/>
      <c r="U32" s="314">
        <f>IF(OR(I32="a",I32="as"),C31,IF(OR(I32="b",I32="bs"),C33,""))</f>
        <v>6576</v>
      </c>
      <c r="V32" s="147">
        <v>26</v>
      </c>
      <c r="W32" s="344" t="str">
        <f>UPPER(IF($D57="","",VLOOKUP($D57,'[1]m glavni turnir žrebna lista'!$A$7:$R$38,3)))</f>
        <v>LAVRENČIČ</v>
      </c>
      <c r="X32" s="344" t="str">
        <f>PROPER(IF($D57="","",VLOOKUP($D57,'[1]m glavni turnir žrebna lista'!$A$7:$R$38,4)))</f>
        <v>Nejc</v>
      </c>
      <c r="Y32" s="340">
        <f t="shared" si="0"/>
        <v>15</v>
      </c>
      <c r="Z32" s="340">
        <f>IF(Y32="","",IF(AND($Q$63=1,U57=U56),30,IF(AND($Q$63=2,U57=U56),15,IF(AND($Q$63=3,U57=U56),10,""))))</f>
      </c>
      <c r="AA32" s="340">
        <f>IF(Z32="","",IF(AND($Q$63=1,U56=U57,U57=U58),60,IF(AND($Q$63=2,U56=U57,U57=U58),30,IF(AND($Q$63=3,U56=U57,U57=U58),20,""))))</f>
      </c>
      <c r="AB32" s="340">
        <f>IF(AA32="","",IF(AND($Q$63=1,U62=U58,U58=U56,U56=U57),120,IF(AND($Q$63=2,U62=U58,U58=U56,U56=U57),60,IF(AND($Q$63=3,U62=U58,U58=U56,U56=U57),40,""))))</f>
      </c>
      <c r="AC32" s="340">
        <f>IF(AB32="","",IF(AND($Q$63=1,$U$57=$U$56,$U$56=$U$58,$U$58=$U$62,$U$62=$U$54),120,IF(AND($Q$63=2,$U$57=$U$56,$U$56=$U$58,$U$58=$U$62,$U$62=$U$54),60,IF(AND($Q$63=3,$U$57=$U$56,$U$56=$U$58,$U$58=$U$62,$U$62=$U$54),40,""))))</f>
      </c>
      <c r="AD32" s="340">
        <f>IF(AC32="","",IF(AND($Q$63=1,$U$57=$U$56,$U$56=$U$58,$U$58=$U$62,$U$62=$U$54,$U$38=$U$54),120,IF(AND($Q$63=2,$U$57=$U$56,$U$56=$U$58,$U$58=$U$62,$U$62=$U$54,$U$38=$U$54),60,IF(AND($Q$63=3,$U$57=$U$56,$U$56=$U$58,$U$58=$U$62,$U$62=$U$54,$U$38=$U$54),40,""))))</f>
      </c>
      <c r="AE32" s="341">
        <f t="shared" si="1"/>
        <v>15</v>
      </c>
      <c r="AF32" s="320"/>
      <c r="AG32" s="338"/>
      <c r="AH32" s="338"/>
      <c r="AI32" s="338"/>
      <c r="AJ32" s="338"/>
    </row>
    <row r="33" spans="1:36" s="83" customFormat="1" ht="9" customHeight="1">
      <c r="A33" s="89">
        <v>14</v>
      </c>
      <c r="B33" s="103" t="str">
        <f>IF($D33="","",VLOOKUP($D33,'[1]m glavni turnir žrebna lista'!$A$7:$R$38,17))</f>
        <v>D</v>
      </c>
      <c r="C33" s="103">
        <f>IF($D33="","",VLOOKUP($D33,'[1]m glavni turnir žrebna lista'!$A$7:$R$38,2))</f>
        <v>6228</v>
      </c>
      <c r="D33" s="74">
        <v>12</v>
      </c>
      <c r="E33" s="104" t="str">
        <f>UPPER(IF($D33="","",VLOOKUP($D33,'[1]m glavni turnir žrebna lista'!$A$7:$R$38,3)))</f>
        <v>LOVIŠČEK</v>
      </c>
      <c r="F33" s="104" t="str">
        <f>PROPER(IF($D33="","",VLOOKUP($D33,'[1]m glavni turnir žrebna lista'!$A$7:$R$38,4)))</f>
        <v>Anže</v>
      </c>
      <c r="G33" s="104"/>
      <c r="H33" s="104" t="str">
        <f>IF($D33="","",VLOOKUP($D33,'[1]m glavni turnir žrebna lista'!$A$7:$R$38,5))</f>
        <v>TABRE</v>
      </c>
      <c r="I33" s="105">
        <f>IF($D33="","",VLOOKUP($D33,'[1]m glavni turnir žrebna lista'!$A$7:$R$38,14))</f>
        <v>20</v>
      </c>
      <c r="J33" s="259" t="s">
        <v>100</v>
      </c>
      <c r="K33" s="107"/>
      <c r="L33" s="76"/>
      <c r="M33" s="345"/>
      <c r="N33" s="78"/>
      <c r="O33" s="79"/>
      <c r="P33" s="78"/>
      <c r="Q33" s="346"/>
      <c r="R33" s="82"/>
      <c r="U33" s="314">
        <f>IF($D33="","",VLOOKUP($D33,'[1]m glavni turnir žrebna lista'!$A$7:$R$38,2))</f>
        <v>6228</v>
      </c>
      <c r="V33" s="147">
        <v>27</v>
      </c>
      <c r="W33" s="147" t="str">
        <f>UPPER(IF($D59="","",VLOOKUP($D59,'[1]m glavni turnir žrebna lista'!$A$7:$R$38,3)))</f>
        <v>FUGINA</v>
      </c>
      <c r="X33" s="147" t="str">
        <f>PROPER(IF($D59="","",VLOOKUP($D59,'[1]m glavni turnir žrebna lista'!$A$7:$R$38,4)))</f>
        <v>Vid</v>
      </c>
      <c r="Y33" s="329">
        <f t="shared" si="0"/>
        <v>15</v>
      </c>
      <c r="Z33" s="329">
        <f>IF(Y33="","",IF(AND($Q$63=1,U60=U59),30,IF(AND($Q$63=2,U60=U59),15,IF(AND($Q$63=3,U60=U59),10,""))))</f>
        <v>15</v>
      </c>
      <c r="AA33" s="329">
        <f>IF(Z33="","",IF(AND($Q$63=1,U60=U58,U58=U59),60,IF(AND($Q$63=2,U60=U58,U58=U59),30,IF(AND($Q$63=3,U60=U58,U58=U59),20,""))))</f>
      </c>
      <c r="AB33" s="329">
        <f>IF(AA33="","",IF(AND($Q$63=1,U62=U58,U58=U60,U60=U59),120,IF(AND($Q$63=2,U62=U58,U58=U60,U60=U59),60,IF(AND($Q$63=3,U62=U58,U58=U60,U60=U59),40,""))))</f>
      </c>
      <c r="AC33" s="329">
        <f>IF(AB33="","",IF(AND($Q$63=1,$U$59=$U$60,$U$60=$U$58,$U$58=$U$62,$U$62=$U$54),120,IF(AND($Q$63=2,$U$59=$U$60,$U$60=$U$58,$U$58=$U$62,$U$62=$U$54),60,IF(AND($Q$63=3,$U$59=$U$60,$U$60=$U$58,$U$58=$U$62,$U$62=$U$54),40,""))))</f>
      </c>
      <c r="AD33" s="329">
        <f>IF(AC33="","",IF(AND($Q$63=1,$U$59=$U$60,$U$60=$U$58,$U$58=$U$62,$U$62=$U$54,$U$38=$U$54),120,IF(AND($Q$63=2,$U$59=$U$60,$U$60=$U$58,$U$58=$U$62,$U$62=$U$54,$U$38=$U$54),60,IF(AND($Q$63=3,$U$59=$U$60,$U$60=$U$58,$U$58=$U$62,$U$62=$U$54,$U$38=$U$54),40,""))))</f>
      </c>
      <c r="AE33" s="337">
        <f t="shared" si="1"/>
        <v>30</v>
      </c>
      <c r="AF33" s="320"/>
      <c r="AG33" s="338"/>
      <c r="AH33" s="338"/>
      <c r="AI33" s="338"/>
      <c r="AJ33" s="338"/>
    </row>
    <row r="34" spans="1:36" s="83" customFormat="1" ht="9" customHeight="1">
      <c r="A34" s="89"/>
      <c r="B34" s="90"/>
      <c r="C34" s="90"/>
      <c r="D34" s="109"/>
      <c r="E34" s="91"/>
      <c r="F34" s="91"/>
      <c r="G34" s="92"/>
      <c r="H34" s="76"/>
      <c r="I34" s="110"/>
      <c r="J34" s="93" t="s">
        <v>23</v>
      </c>
      <c r="K34" s="111" t="s">
        <v>75</v>
      </c>
      <c r="L34" s="95" t="s">
        <v>140</v>
      </c>
      <c r="M34" s="347">
        <f>IF(OR(K34="a",K34="as"),K32,IF(OR(K34="b",K34="bs"),K36,))</f>
        <v>30</v>
      </c>
      <c r="N34" s="78"/>
      <c r="O34" s="79"/>
      <c r="P34" s="78"/>
      <c r="Q34" s="346"/>
      <c r="R34" s="82"/>
      <c r="U34" s="314">
        <f>IF(OR(K34="a",K34="as"),U32,IF(OR(K34="b",K34="bs"),U36,""))</f>
        <v>6592</v>
      </c>
      <c r="V34" s="147">
        <v>28</v>
      </c>
      <c r="W34" s="344" t="str">
        <f>UPPER(IF($D61="","",VLOOKUP($D61,'[1]m glavni turnir žrebna lista'!$A$7:$R$38,3)))</f>
        <v>ZUPANČIČ</v>
      </c>
      <c r="X34" s="344" t="str">
        <f>PROPER(IF($D61="","",VLOOKUP($D61,'[1]m glavni turnir žrebna lista'!$A$7:$R$38,4)))</f>
        <v>Filip Jakob</v>
      </c>
      <c r="Y34" s="340">
        <f t="shared" si="0"/>
        <v>15</v>
      </c>
      <c r="Z34" s="340">
        <f>IF(Y34="","",IF(AND($Q$63=1,U61=U60),30,IF(AND($Q$63=2,U61=U60),15,IF(AND($Q$63=3,U61=U60),10,""))))</f>
      </c>
      <c r="AA34" s="340">
        <f>IF(Z34="","",IF(AND($Q$63=1,U61=U58,U58=U60),60,IF(AND($Q$63=2,U61=U58,U58=U60),30,IF(AND($Q$63=3,U61=U58,U58=U60),20,""))))</f>
      </c>
      <c r="AB34" s="340">
        <f>IF(AA34="","",IF(AND($Q$63=1,U62=U58,U58=U60,U60=U61),120,IF(AND($Q$63=2,U62=U58,U58=U60,U60=U61),60,IF(AND($Q$63=3,U62=U58,U58=U60,U60=U61),40,""))))</f>
      </c>
      <c r="AC34" s="340">
        <f>IF(AB34="","",IF(AND($Q$63=1,$U$61=$U$60,$U$60=$U$58,$U$58=$U$62,$U$62=$U$54),120,IF(AND($Q$63=2,$U$61=$U$60,$U$60=$U$58,$U$58=$U$62,$U$62=$U$54),60,IF(AND($Q$63=3,$U$61=$U$60,$U$60=$U$58,$U$58=$U$62,$U$62=$U$54),40,""))))</f>
      </c>
      <c r="AD34" s="340">
        <f>IF(AC34="","",IF(AND($Q$63=1,$U$61=$U$60,$U$60=$U$58,$U$58=$U$62,$U$62=$U$54,$U$38=$U$54),120,IF(AND($Q$63=2,$U$61=$U$60,$U$60=$U$58,$U$58=$U$62,$U$62=$U$54,$U$38=$U$54),60,IF(AND($Q$63=3,$U$61=$U$60,$U$60=$U$58,$U$58=$U$62,$U$62=$U$54,$U$38=$U$54),40,""))))</f>
      </c>
      <c r="AE34" s="341">
        <f t="shared" si="1"/>
        <v>15</v>
      </c>
      <c r="AF34" s="320"/>
      <c r="AG34" s="338"/>
      <c r="AH34" s="338"/>
      <c r="AI34" s="338"/>
      <c r="AJ34" s="338"/>
    </row>
    <row r="35" spans="1:36" s="83" customFormat="1" ht="9" customHeight="1">
      <c r="A35" s="89">
        <v>15</v>
      </c>
      <c r="B35" s="103" t="str">
        <f>IF($D35="","",VLOOKUP($D35,'[1]m glavni turnir žrebna lista'!$A$7:$R$38,17))</f>
        <v>V</v>
      </c>
      <c r="C35" s="103">
        <f>IF($D35="","",VLOOKUP($D35,'[1]m glavni turnir žrebna lista'!$A$7:$R$38,2))</f>
        <v>6578</v>
      </c>
      <c r="D35" s="74">
        <v>17</v>
      </c>
      <c r="E35" s="104" t="str">
        <f>UPPER(IF($D35="","",VLOOKUP($D35,'[1]m glavni turnir žrebna lista'!$A$7:$R$38,3)))</f>
        <v>BIČIČ</v>
      </c>
      <c r="F35" s="104" t="str">
        <f>PROPER(IF($D35="","",VLOOKUP($D35,'[1]m glavni turnir žrebna lista'!$A$7:$R$38,4)))</f>
        <v>Alex</v>
      </c>
      <c r="G35" s="104"/>
      <c r="H35" s="104" t="str">
        <f>IF($D35="","",VLOOKUP($D35,'[1]m glavni turnir žrebna lista'!$A$7:$R$38,5))</f>
        <v>PORTO</v>
      </c>
      <c r="I35" s="75">
        <f>IF($D35="","",VLOOKUP($D35,'[1]m glavni turnir žrebna lista'!$A$7:$R$38,14))</f>
        <v>20</v>
      </c>
      <c r="J35" s="76"/>
      <c r="K35" s="114"/>
      <c r="L35" s="259" t="s">
        <v>146</v>
      </c>
      <c r="M35" s="343"/>
      <c r="N35" s="78"/>
      <c r="O35" s="79"/>
      <c r="P35" s="78"/>
      <c r="Q35" s="346"/>
      <c r="R35" s="82"/>
      <c r="U35" s="314">
        <f>IF($D35="","",VLOOKUP($D35,'[1]m glavni turnir žrebna lista'!$A$7:$R$38,2))</f>
        <v>6578</v>
      </c>
      <c r="V35" s="147">
        <v>29</v>
      </c>
      <c r="W35" s="147" t="str">
        <f>UPPER(IF($D63="","",VLOOKUP($D63,'[1]m glavni turnir žrebna lista'!$A$7:$R$38,3)))</f>
        <v>BREC</v>
      </c>
      <c r="X35" s="147" t="str">
        <f>PROPER(IF($D63="","",VLOOKUP($D63,'[1]m glavni turnir žrebna lista'!$A$7:$R$38,4)))</f>
        <v>Jakob</v>
      </c>
      <c r="Y35" s="329">
        <f t="shared" si="0"/>
        <v>15</v>
      </c>
      <c r="Z35" s="329">
        <f>IF(Y35="","",IF(AND($Q$63=1,U64=U63),30,IF(AND($Q$63=2,U64=U63),15,IF(AND($Q$63=3,U64=U63),10,""))))</f>
      </c>
      <c r="AA35" s="329">
        <f>IF(Z35="","",IF(AND($Q$63=1,U63=U64,U64=U66),60,IF(AND($Q$63=2,U63=U64,U64=U66),30,IF(AND($Q$63=3,U63=U64,U64=U66),20,""))))</f>
      </c>
      <c r="AB35" s="329">
        <f>IF(AA35="","",IF(AND($Q$63=1,U62=U66,U66=U64,U64=U63),120,IF(AND($Q$63=2,U62=U66,U66=U64,U64=U63),60,IF(AND($Q$63=3,U62=U66,U66=U64,U64=U63),40,""))))</f>
      </c>
      <c r="AC35" s="329">
        <f>IF(AB35="","",IF(AND($Q$63=1,$U$63=$U$64,$U$64=$U$66,$U$66=$U$62,$U$62=$U$54),120,IF(AND($Q$63=2,$U$63=$U$64,$U$64=$U$66,$U$66=$U$62,$U$62=$U$54),60,IF(AND($Q$63=3,$U$63=$U$64,$U$64=$U$66,$U$66=$U$62,$U$62=$U$54),40,""))))</f>
      </c>
      <c r="AD35" s="329">
        <f>IF(AC35="","",IF(AND($Q$63=1,$U$63=$U$64,$U$64=$U$66,$U$66=$U$62,$U$62=$U$54,$U$38=$U$54),120,IF(AND($Q$63=2,$U$63=$U$64,$U$64=$U$66,$U$66=$U$62,$U$62=$U$54,$U$38=$U$54),60,IF(AND($Q$63=3,$U$63=$U$64,$U$64=$U$66,$U$66=$U$62,$U$62=$U$54,$U$38=$U$54),40,""))))</f>
      </c>
      <c r="AE35" s="337">
        <f t="shared" si="1"/>
        <v>15</v>
      </c>
      <c r="AF35" s="320"/>
      <c r="AG35" s="338"/>
      <c r="AH35" s="338"/>
      <c r="AI35" s="338"/>
      <c r="AJ35" s="338"/>
    </row>
    <row r="36" spans="1:36" s="83" customFormat="1" ht="9" customHeight="1">
      <c r="A36" s="89"/>
      <c r="B36" s="90"/>
      <c r="C36" s="90"/>
      <c r="D36" s="90"/>
      <c r="E36" s="91"/>
      <c r="F36" s="91"/>
      <c r="G36" s="92"/>
      <c r="H36" s="93" t="s">
        <v>23</v>
      </c>
      <c r="I36" s="94" t="s">
        <v>75</v>
      </c>
      <c r="J36" s="95" t="str">
        <f>UPPER(IF(OR(I36="a",I36="as"),E35,IF(OR(I36="b",I36="bs"),E37,)))</f>
        <v>VOVK</v>
      </c>
      <c r="K36" s="117">
        <f>IF(OR(I36="a",I36="as"),I35,IF(OR(I36="b",I36="bs"),I37,))</f>
        <v>30</v>
      </c>
      <c r="L36" s="76"/>
      <c r="M36" s="343"/>
      <c r="N36" s="78"/>
      <c r="O36" s="79"/>
      <c r="P36" s="78"/>
      <c r="Q36" s="346"/>
      <c r="R36" s="82"/>
      <c r="U36" s="314">
        <f>IF(OR(I36="a",I36="as"),C35,IF(OR(I36="b",I36="bs"),C37,""))</f>
        <v>6592</v>
      </c>
      <c r="V36" s="147">
        <v>30</v>
      </c>
      <c r="W36" s="344" t="str">
        <f>UPPER(IF($D65="","",VLOOKUP($D65,'[1]m glavni turnir žrebna lista'!$A$7:$R$38,3)))</f>
        <v>JANEŽIČ</v>
      </c>
      <c r="X36" s="344" t="str">
        <f>PROPER(IF($D65="","",VLOOKUP($D65,'[1]m glavni turnir žrebna lista'!$A$7:$R$38,4)))</f>
        <v>Dorian Tomaž</v>
      </c>
      <c r="Y36" s="340">
        <f t="shared" si="0"/>
        <v>15</v>
      </c>
      <c r="Z36" s="340">
        <f>IF(Y36="","",IF(AND($Q$63=1,U65=U64),30,IF(AND($Q$63=2,U65=U64),15,IF(AND($Q$63=3,U65=U64),10,""))))</f>
        <v>15</v>
      </c>
      <c r="AA36" s="340">
        <f>IF(Z36="","",IF(AND($Q$63=1,U64=U65,U65=U66),60,IF(AND($Q$63=2,U64=U65,U65=U66),30,IF(AND($Q$63=3,U64=U65,U65=U66),20,""))))</f>
        <v>30</v>
      </c>
      <c r="AB36" s="340">
        <f>IF(AA36="","",IF(AND($Q$63=1,U62=U66,U66=U64,U64=U65),120,IF(AND($Q$63=2,U62=U66,U66=U64,U64=U65),60,IF(AND($Q$63=3,U62=U66,U66=U64,U64=U65),40,""))))</f>
      </c>
      <c r="AC36" s="340">
        <f>IF(AB36="","",IF(AND($Q$63=1,$U$65=$U$64,$U$64=$U$66,$U$66=$U$62,$U$62=$U$54),120,IF(AND($Q$63=2,$U$65=$U$64,$U$64=$U$66,$U$66=$U$62,$U$62=$U$54),60,IF(AND($Q$63=3,$U$65=$U$64,$U$64=$U$66,$U$66=$U$62,$U$62=$U$54),40,""))))</f>
      </c>
      <c r="AD36" s="340">
        <f>IF(AC36="","",IF(AND($Q$63=1,$U$65=$U$64,$U$64=$U$66,$U$66=$U$62,$U$62=$U$54,$U$38=$U$54),120,IF(AND($Q$63=2,$U$65=$U$64,$U$64=$U$66,$U$66=$U$62,$U$62=$U$54,$U$38=$U$54),60,IF(AND($Q$63=3,$U$65=$U$64,$U$64=$U$66,$U$66=$U$62,$U$62=$U$54,$U$38=$U$54),40,""))))</f>
      </c>
      <c r="AE36" s="341">
        <f t="shared" si="1"/>
        <v>60</v>
      </c>
      <c r="AF36" s="320"/>
      <c r="AG36" s="338"/>
      <c r="AH36" s="338"/>
      <c r="AI36" s="338"/>
      <c r="AJ36" s="338"/>
    </row>
    <row r="37" spans="1:36" s="83" customFormat="1" ht="9" customHeight="1">
      <c r="A37" s="72">
        <v>16</v>
      </c>
      <c r="B37" s="73" t="str">
        <f>IF($D37="","",VLOOKUP($D37,'[1]m glavni turnir žrebna lista'!$A$7:$R$38,17))</f>
        <v>D</v>
      </c>
      <c r="C37" s="73">
        <f>IF($D37="","",VLOOKUP($D37,'[1]m glavni turnir žrebna lista'!$A$7:$R$38,2))</f>
        <v>6592</v>
      </c>
      <c r="D37" s="74">
        <v>6</v>
      </c>
      <c r="E37" s="73" t="str">
        <f>UPPER(IF($D37="","",VLOOKUP($D37,'[1]m glavni turnir žrebna lista'!$A$7:$R$38,3)))</f>
        <v>VOVK</v>
      </c>
      <c r="F37" s="73" t="str">
        <f>PROPER(IF($D37="","",VLOOKUP($D37,'[1]m glavni turnir žrebna lista'!$A$7:$R$38,4)))</f>
        <v>Gregor</v>
      </c>
      <c r="G37" s="73"/>
      <c r="H37" s="73" t="str">
        <f>IF($D37="","",VLOOKUP($D37,'[1]m glavni turnir žrebna lista'!$A$7:$R$38,5))</f>
        <v>STRAŽ</v>
      </c>
      <c r="I37" s="105">
        <f>IF($D37="","",VLOOKUP($D37,'[1]m glavni turnir žrebna lista'!$A$7:$R$38,14))</f>
        <v>30</v>
      </c>
      <c r="J37" s="259" t="s">
        <v>95</v>
      </c>
      <c r="K37" s="119"/>
      <c r="L37" s="76"/>
      <c r="M37" s="343"/>
      <c r="N37" s="79"/>
      <c r="O37" s="79"/>
      <c r="P37" s="78"/>
      <c r="Q37" s="346"/>
      <c r="R37" s="82"/>
      <c r="U37" s="314">
        <f>IF($D37="","",VLOOKUP($D37,'[1]m glavni turnir žrebna lista'!$A$7:$R$38,2))</f>
        <v>6592</v>
      </c>
      <c r="V37" s="147">
        <v>31</v>
      </c>
      <c r="W37" s="147" t="str">
        <f>UPPER(IF($D67="","",VLOOKUP($D67,'[1]m glavni turnir žrebna lista'!$A$7:$R$38,3)))</f>
        <v>DACAR</v>
      </c>
      <c r="X37" s="147" t="str">
        <f>PROPER(IF($D67="","",VLOOKUP($D67,'[1]m glavni turnir žrebna lista'!$A$7:$R$38,4)))</f>
        <v>Urban</v>
      </c>
      <c r="Y37" s="329">
        <f t="shared" si="0"/>
        <v>15</v>
      </c>
      <c r="Z37" s="329">
        <f>IF(Y37="","",IF(AND($Q$63=1,U68=U67),30,IF(AND($Q$63=2,U68=U67),15,IF(AND($Q$63=3,U68=U67),10,""))))</f>
      </c>
      <c r="AA37" s="329">
        <f>IF(Z37="","",IF(AND($Q$63=1,U68=U66,U66=U67),60,IF(AND($Q$63=2,U68=U66,U66=U67),30,IF(AND($Q$63=3,U68=U66,U66=U67),20,""))))</f>
      </c>
      <c r="AB37" s="329">
        <f>IF(AA37="","",IF(AND($Q$63=1,U62=U66,U66=U68,U68=U67),120,IF(AND($Q$63=2,U62=U66,U66=U68,U68=U67),60,IF(AND($Q$63=3,U62=U66,U66=U68,U68=U67),40,""))))</f>
      </c>
      <c r="AC37" s="329">
        <f>IF(AB37="","",IF(AND($Q$63=1,$U$67=$U$68,$U$68=$U$66,$U$66=$U$62,$U$62=$U$54),120,IF(AND($Q$63=2,$U$67=$U$68,$U$68=$U$66,$U$66=$U$62,$U$62=$U$54),60,IF(AND($Q$63=3,$U$67=$U$68,$U$68=$U$66,$U$66=$U$62,$U$62=$U$54),40,""))))</f>
      </c>
      <c r="AD37" s="329">
        <f>IF(AC37="","",IF(AND($Q$63=1,$U$67=$U$68,$U$68=$U$66,$U$66=$U$62,$U$62=$U$54,$U$38=$U$54),120,IF(AND($Q$63=2,$U$67=$U$68,$U$68=$U$66,$U$66=$U$62,$U$62=$U$54,$U$38=$U$54),60,IF(AND($Q$63=3,$U$67=$U$68,$U$68=$U$66,$U$66=$U$62,$U$62=$U$54,$U$38=$U$54),40,""))))</f>
      </c>
      <c r="AE37" s="337">
        <f t="shared" si="1"/>
        <v>15</v>
      </c>
      <c r="AF37" s="320"/>
      <c r="AG37" s="338"/>
      <c r="AH37" s="338"/>
      <c r="AI37" s="338"/>
      <c r="AJ37" s="338"/>
    </row>
    <row r="38" spans="1:36" s="83" customFormat="1" ht="9" customHeight="1">
      <c r="A38" s="89"/>
      <c r="B38" s="90"/>
      <c r="C38" s="90"/>
      <c r="D38" s="90"/>
      <c r="E38" s="91"/>
      <c r="F38" s="91"/>
      <c r="G38" s="92"/>
      <c r="H38" s="91"/>
      <c r="I38" s="110"/>
      <c r="J38" s="76"/>
      <c r="K38" s="119"/>
      <c r="L38" s="76"/>
      <c r="M38" s="343"/>
      <c r="N38" s="351" t="s">
        <v>93</v>
      </c>
      <c r="O38" s="352" t="s">
        <v>154</v>
      </c>
      <c r="P38" s="95" t="str">
        <f>UPPER(IF(OR(O39="a",O39="as"),P22,IF(OR(O39="b",O39="bs"),P54,)))</f>
        <v>GERMIČ</v>
      </c>
      <c r="Q38" s="353"/>
      <c r="R38" s="82"/>
      <c r="U38" s="314">
        <f>IF(OR(O39="a",O39="as"),U22,IF(OR(O39="b",O39="bs"),U54,""))</f>
      </c>
      <c r="V38" s="147">
        <v>32</v>
      </c>
      <c r="W38" s="344" t="str">
        <f>UPPER(IF($D69="","",VLOOKUP($D69,'[1]m glavni turnir žrebna lista'!$A$7:$R$38,3)))</f>
        <v>VOLK</v>
      </c>
      <c r="X38" s="344" t="str">
        <f>PROPER(IF($D69="","",VLOOKUP($D69,'[1]m glavni turnir žrebna lista'!$A$7:$R$38,4)))</f>
        <v>Luka</v>
      </c>
      <c r="Y38" s="340">
        <f t="shared" si="0"/>
        <v>15</v>
      </c>
      <c r="Z38" s="340">
        <f>IF(Y38="","",IF(AND($Q$63=1,U69=U68),30,IF(AND($Q$63=2,U69=U68),15,IF(AND($Q$63=3,U69=U68),10,""))))</f>
        <v>15</v>
      </c>
      <c r="AA38" s="340">
        <f>IF(Z38="","",IF(AND($Q$63=1,U69=U66,U66=U68),60,IF(AND($Q$63=2,U69=U66,U66=U68),30,IF(AND($Q$63=3,U69=U66,U66=U68),20,""))))</f>
      </c>
      <c r="AB38" s="340">
        <f>IF(AA38="","",IF(AND($Q$63=1,U62=U66,U66=U68,U68=U69),120,IF(AND($Q$63=2,U62=U66,U66=U68,U68=U69),60,IF(AND($Q$63=3,U62=U66,U66=U68,U68=U69),40,""))))</f>
      </c>
      <c r="AC38" s="340">
        <f>IF(AB38="","",IF(AND($Q$63=1,$U$69=$U$68,$U$68=$U$66,$U$66=$U$62,$U$62=$U$54),120,IF(AND($Q$63=2,$U$69=$U$68,$U$68=$U$66,$U$66=$U$62,$U$62=$U$54),60,IF(AND($Q$63=3,$U$69=$U$68,$U$68=$U$66,$U$66=$U$62,$U$62=$U$54),40,""))))</f>
      </c>
      <c r="AD38" s="340">
        <f>IF(AC38="","",IF(AND($Q$63=1,$U$69=$U$68,$U$68=$U$66,$U$66=$U$62,$U$62=$U$54,$U$38=$U$54),120,IF(AND($Q$63=2,$U$69=$U$68,$U$68=$U$66,$U$66=$U$62,$U$62=$U$54,$U$38=$U$54),60,IF(AND($Q$63=3,$U$69=$U$68,$U$68=$U$66,$U$66=$U$62,$U$62=$U$54,$U$38=$U$54),40,""))))</f>
      </c>
      <c r="AE38" s="341">
        <f t="shared" si="1"/>
        <v>30</v>
      </c>
      <c r="AF38" s="320"/>
      <c r="AG38" s="338"/>
      <c r="AH38" s="338"/>
      <c r="AI38" s="338"/>
      <c r="AJ38" s="338"/>
    </row>
    <row r="39" spans="1:36" s="83" customFormat="1" ht="9" customHeight="1">
      <c r="A39" s="72">
        <v>17</v>
      </c>
      <c r="B39" s="73" t="str">
        <f>IF($D39="","",VLOOKUP($D39,'[1]m glavni turnir žrebna lista'!$A$7:$R$38,17))</f>
        <v>D</v>
      </c>
      <c r="C39" s="73">
        <f>IF($D39="","",VLOOKUP($D39,'[1]m glavni turnir žrebna lista'!$A$7:$R$38,2))</f>
        <v>6591</v>
      </c>
      <c r="D39" s="74">
        <v>8</v>
      </c>
      <c r="E39" s="73" t="str">
        <f>UPPER(IF($D39="","",VLOOKUP($D39,'[1]m glavni turnir žrebna lista'!$A$7:$R$38,3)))</f>
        <v>VOVK</v>
      </c>
      <c r="F39" s="73" t="str">
        <f>PROPER(IF($D39="","",VLOOKUP($D39,'[1]m glavni turnir žrebna lista'!$A$7:$R$38,4)))</f>
        <v>Primož</v>
      </c>
      <c r="G39" s="73"/>
      <c r="H39" s="73" t="str">
        <f>IF($D39="","",VLOOKUP($D39,'[1]m glavni turnir žrebna lista'!$A$7:$R$38,5))</f>
        <v>STRAŽ</v>
      </c>
      <c r="I39" s="75">
        <f>IF($D39="","",VLOOKUP($D39,'[1]m glavni turnir žrebna lista'!$A$7:$R$38,14))</f>
        <v>20</v>
      </c>
      <c r="J39" s="76"/>
      <c r="K39" s="119"/>
      <c r="L39" s="76"/>
      <c r="M39" s="343"/>
      <c r="N39" s="93" t="s">
        <v>23</v>
      </c>
      <c r="O39" s="354" t="s">
        <v>154</v>
      </c>
      <c r="P39" s="259" t="s">
        <v>178</v>
      </c>
      <c r="Q39" s="346"/>
      <c r="R39" s="82"/>
      <c r="U39" s="314">
        <f>IF($D39="","",VLOOKUP($D39,'[1]m glavni turnir žrebna lista'!$A$7:$R$38,2))</f>
        <v>6591</v>
      </c>
      <c r="V39" s="338"/>
      <c r="W39" s="338"/>
      <c r="X39" s="338"/>
      <c r="Y39" s="318">
        <f aca="true" t="shared" si="2" ref="Y39:AE39">COUNTIF(Y7:Y38,"&gt;0")</f>
        <v>32</v>
      </c>
      <c r="Z39" s="318">
        <f t="shared" si="2"/>
        <v>16</v>
      </c>
      <c r="AA39" s="318">
        <f t="shared" si="2"/>
        <v>8</v>
      </c>
      <c r="AB39" s="318">
        <f t="shared" si="2"/>
        <v>4</v>
      </c>
      <c r="AC39" s="318">
        <f t="shared" si="2"/>
        <v>2</v>
      </c>
      <c r="AD39" s="318">
        <f t="shared" si="2"/>
        <v>0</v>
      </c>
      <c r="AE39" s="318">
        <f t="shared" si="2"/>
        <v>32</v>
      </c>
      <c r="AF39" s="320"/>
      <c r="AG39" s="338"/>
      <c r="AH39" s="338"/>
      <c r="AI39" s="338"/>
      <c r="AJ39" s="338"/>
    </row>
    <row r="40" spans="1:36" s="83" customFormat="1" ht="9" customHeight="1">
      <c r="A40" s="89"/>
      <c r="B40" s="90"/>
      <c r="C40" s="90"/>
      <c r="D40" s="90"/>
      <c r="E40" s="91"/>
      <c r="F40" s="91"/>
      <c r="G40" s="92"/>
      <c r="H40" s="93" t="s">
        <v>23</v>
      </c>
      <c r="I40" s="94" t="s">
        <v>24</v>
      </c>
      <c r="J40" s="95" t="str">
        <f>UPPER(IF(OR(I40="a",I40="as"),E39,IF(OR(I40="b",I40="bs"),E41,)))</f>
        <v>VOVK</v>
      </c>
      <c r="K40" s="96">
        <f>IF(OR(I40="a",I40="as"),I39,IF(OR(I40="b",I40="bs"),I41,))</f>
        <v>20</v>
      </c>
      <c r="L40" s="76"/>
      <c r="M40" s="343"/>
      <c r="N40" s="78"/>
      <c r="O40" s="79"/>
      <c r="P40" s="78"/>
      <c r="Q40" s="346"/>
      <c r="R40" s="82"/>
      <c r="U40" s="314">
        <f>IF(OR(I40="a",I40="as"),C39,IF(OR(I40="b",I40="bs"),C41,""))</f>
        <v>6591</v>
      </c>
      <c r="V40" s="338"/>
      <c r="W40" s="338"/>
      <c r="X40" s="338"/>
      <c r="Y40" s="338"/>
      <c r="Z40" s="338"/>
      <c r="AA40" s="338"/>
      <c r="AB40" s="338"/>
      <c r="AC40" s="338"/>
      <c r="AD40" s="338"/>
      <c r="AE40" s="338"/>
      <c r="AF40" s="320"/>
      <c r="AG40" s="338"/>
      <c r="AH40" s="338"/>
      <c r="AI40" s="338"/>
      <c r="AJ40" s="338"/>
    </row>
    <row r="41" spans="1:36" s="83" customFormat="1" ht="9" customHeight="1">
      <c r="A41" s="89">
        <v>18</v>
      </c>
      <c r="B41" s="103" t="str">
        <f>IF($D41="","",VLOOKUP($D41,'[1]m glavni turnir žrebna lista'!$A$7:$R$38,17))</f>
        <v>D</v>
      </c>
      <c r="C41" s="103">
        <f>IF($D41="","",VLOOKUP($D41,'[1]m glavni turnir žrebna lista'!$A$7:$R$38,2))</f>
        <v>6575</v>
      </c>
      <c r="D41" s="74">
        <v>22</v>
      </c>
      <c r="E41" s="104" t="str">
        <f>UPPER(IF($D41="","",VLOOKUP($D41,'[1]m glavni turnir žrebna lista'!$A$7:$R$38,3)))</f>
        <v>DERNIČ</v>
      </c>
      <c r="F41" s="104" t="str">
        <f>PROPER(IF($D41="","",VLOOKUP($D41,'[1]m glavni turnir žrebna lista'!$A$7:$R$38,4)))</f>
        <v>Žiga</v>
      </c>
      <c r="G41" s="104"/>
      <c r="H41" s="104" t="str">
        <f>IF($D41="","",VLOOKUP($D41,'[1]m glavni turnir žrebna lista'!$A$7:$R$38,5))</f>
        <v>PORTO</v>
      </c>
      <c r="I41" s="105">
        <f>IF($D41="","",VLOOKUP($D41,'[1]m glavni turnir žrebna lista'!$A$7:$R$38,14))</f>
        <v>10</v>
      </c>
      <c r="J41" s="259" t="s">
        <v>101</v>
      </c>
      <c r="K41" s="107"/>
      <c r="L41" s="76"/>
      <c r="M41" s="343"/>
      <c r="N41" s="78"/>
      <c r="O41" s="79"/>
      <c r="P41" s="78"/>
      <c r="Q41" s="346"/>
      <c r="R41" s="82"/>
      <c r="U41" s="314">
        <f>IF($D41="","",VLOOKUP($D41,'[1]m glavni turnir žrebna lista'!$A$7:$R$38,2))</f>
        <v>6575</v>
      </c>
      <c r="V41" s="412" t="s">
        <v>102</v>
      </c>
      <c r="W41" s="412"/>
      <c r="X41" s="412"/>
      <c r="Y41" s="412"/>
      <c r="Z41" s="412"/>
      <c r="AA41" s="131"/>
      <c r="AB41" s="131"/>
      <c r="AC41" s="131"/>
      <c r="AD41" s="131"/>
      <c r="AE41" s="132"/>
      <c r="AF41" s="135"/>
      <c r="AG41" s="134" t="s">
        <v>103</v>
      </c>
      <c r="AH41" s="135"/>
      <c r="AI41" s="135"/>
      <c r="AJ41" s="135"/>
    </row>
    <row r="42" spans="1:36" s="83" customFormat="1" ht="9" customHeight="1">
      <c r="A42" s="89"/>
      <c r="B42" s="90"/>
      <c r="C42" s="90"/>
      <c r="D42" s="109"/>
      <c r="E42" s="91"/>
      <c r="F42" s="91"/>
      <c r="G42" s="92"/>
      <c r="H42" s="91"/>
      <c r="I42" s="110"/>
      <c r="J42" s="93" t="s">
        <v>23</v>
      </c>
      <c r="K42" s="111" t="s">
        <v>24</v>
      </c>
      <c r="L42" s="95" t="s">
        <v>140</v>
      </c>
      <c r="M42" s="342">
        <f>IF(OR(K42="a",K42="as"),K40,IF(OR(K42="b",K42="bs"),K44,))</f>
        <v>20</v>
      </c>
      <c r="N42" s="78"/>
      <c r="O42" s="79"/>
      <c r="P42" s="78"/>
      <c r="Q42" s="346"/>
      <c r="R42" s="82"/>
      <c r="U42" s="314">
        <f>IF(OR(K42="a",K42="as"),U40,IF(OR(K42="b",K42="bs"),U44,""))</f>
        <v>6591</v>
      </c>
      <c r="V42" s="135"/>
      <c r="W42" s="133"/>
      <c r="X42" s="136"/>
      <c r="Y42" s="131"/>
      <c r="Z42" s="131"/>
      <c r="AA42" s="131"/>
      <c r="AB42" s="131"/>
      <c r="AC42" s="131"/>
      <c r="AD42" s="131"/>
      <c r="AE42" s="132"/>
      <c r="AF42" s="135"/>
      <c r="AG42" s="135"/>
      <c r="AH42" s="135"/>
      <c r="AI42" s="135"/>
      <c r="AJ42" s="135"/>
    </row>
    <row r="43" spans="1:36" s="83" customFormat="1" ht="9" customHeight="1">
      <c r="A43" s="89">
        <v>19</v>
      </c>
      <c r="B43" s="103" t="str">
        <f>IF($D43="","",VLOOKUP($D43,'[1]m glavni turnir žrebna lista'!$A$7:$R$38,17))</f>
        <v>K</v>
      </c>
      <c r="C43" s="103">
        <f>IF($D43="","",VLOOKUP($D43,'[1]m glavni turnir žrebna lista'!$A$7:$R$38,2))</f>
        <v>6470</v>
      </c>
      <c r="D43" s="74">
        <v>24</v>
      </c>
      <c r="E43" s="104" t="str">
        <f>UPPER(IF($D43="","",VLOOKUP($D43,'[1]m glavni turnir žrebna lista'!$A$7:$R$38,3)))</f>
        <v>FRANK</v>
      </c>
      <c r="F43" s="104" t="str">
        <f>PROPER(IF($D43="","",VLOOKUP($D43,'[1]m glavni turnir žrebna lista'!$A$7:$R$38,4)))</f>
        <v>Jure</v>
      </c>
      <c r="G43" s="104"/>
      <c r="H43" s="104" t="str">
        <f>IF($D43="","",VLOOKUP($D43,'[1]m glavni turnir žrebna lista'!$A$7:$R$38,5))</f>
        <v>ŽTKMB</v>
      </c>
      <c r="I43" s="75">
        <f>IF($D43="","",VLOOKUP($D43,'[1]m glavni turnir žrebna lista'!$A$7:$R$38,14))</f>
        <v>10</v>
      </c>
      <c r="J43" s="76"/>
      <c r="K43" s="114"/>
      <c r="L43" s="259" t="s">
        <v>131</v>
      </c>
      <c r="M43" s="345"/>
      <c r="N43" s="78"/>
      <c r="O43" s="79"/>
      <c r="P43" s="78"/>
      <c r="Q43" s="346"/>
      <c r="R43" s="82"/>
      <c r="U43" s="314">
        <f>IF($D43="","",VLOOKUP($D43,'[1]m glavni turnir žrebna lista'!$A$7:$R$38,2))</f>
        <v>6470</v>
      </c>
      <c r="V43" s="137" t="s">
        <v>18</v>
      </c>
      <c r="W43" s="133" t="s">
        <v>14</v>
      </c>
      <c r="X43" s="133" t="s">
        <v>15</v>
      </c>
      <c r="Y43" s="131" t="s">
        <v>19</v>
      </c>
      <c r="Z43" s="131" t="s">
        <v>92</v>
      </c>
      <c r="AA43" s="131" t="s">
        <v>91</v>
      </c>
      <c r="AB43" s="131" t="s">
        <v>73</v>
      </c>
      <c r="AC43" s="131" t="s">
        <v>16</v>
      </c>
      <c r="AD43" s="131"/>
      <c r="AE43" s="138" t="s">
        <v>22</v>
      </c>
      <c r="AF43" s="135"/>
      <c r="AG43" s="133" t="s">
        <v>14</v>
      </c>
      <c r="AH43" s="133" t="s">
        <v>15</v>
      </c>
      <c r="AI43" s="133" t="s">
        <v>5</v>
      </c>
      <c r="AJ43" s="134" t="s">
        <v>22</v>
      </c>
    </row>
    <row r="44" spans="1:36" s="83" customFormat="1" ht="9" customHeight="1">
      <c r="A44" s="89"/>
      <c r="B44" s="90"/>
      <c r="C44" s="90"/>
      <c r="D44" s="109"/>
      <c r="E44" s="91"/>
      <c r="F44" s="91"/>
      <c r="G44" s="92"/>
      <c r="H44" s="93" t="s">
        <v>23</v>
      </c>
      <c r="I44" s="94" t="s">
        <v>27</v>
      </c>
      <c r="J44" s="95" t="str">
        <f>UPPER(IF(OR(I44="a",I44="as"),E43,IF(OR(I44="b",I44="bs"),E45,)))</f>
        <v>FRANK</v>
      </c>
      <c r="K44" s="117">
        <f>IF(OR(I44="a",I44="as"),I43,IF(OR(I44="b",I44="bs"),I45,))</f>
        <v>10</v>
      </c>
      <c r="L44" s="76"/>
      <c r="M44" s="345"/>
      <c r="N44" s="78"/>
      <c r="O44" s="79"/>
      <c r="P44" s="78"/>
      <c r="Q44" s="346"/>
      <c r="R44" s="82"/>
      <c r="S44" s="355"/>
      <c r="T44" s="356"/>
      <c r="U44" s="357">
        <f>IF(OR(I44="a",I44="as"),C43,IF(OR(I44="b",I44="bs"),C45,""))</f>
        <v>6470</v>
      </c>
      <c r="V44" s="133"/>
      <c r="W44" s="133"/>
      <c r="X44" s="133"/>
      <c r="Y44" s="131"/>
      <c r="Z44" s="131"/>
      <c r="AA44" s="131"/>
      <c r="AB44" s="131"/>
      <c r="AC44" s="131"/>
      <c r="AD44" s="131"/>
      <c r="AE44" s="358"/>
      <c r="AF44" s="135"/>
      <c r="AG44" s="135"/>
      <c r="AH44" s="135"/>
      <c r="AI44" s="135"/>
      <c r="AJ44" s="139"/>
    </row>
    <row r="45" spans="1:36" s="83" customFormat="1" ht="9" customHeight="1">
      <c r="A45" s="89">
        <v>20</v>
      </c>
      <c r="B45" s="103" t="str">
        <f>IF($D45="","",VLOOKUP($D45,'[1]m glavni turnir žrebna lista'!$A$7:$R$38,17))</f>
        <v>K</v>
      </c>
      <c r="C45" s="103">
        <f>IF($D45="","",VLOOKUP($D45,'[1]m glavni turnir žrebna lista'!$A$7:$R$38,2))</f>
        <v>6509</v>
      </c>
      <c r="D45" s="74">
        <v>25</v>
      </c>
      <c r="E45" s="104" t="str">
        <f>UPPER(IF($D45="","",VLOOKUP($D45,'[1]m glavni turnir žrebna lista'!$A$7:$R$38,3)))</f>
        <v>ŽMAVC</v>
      </c>
      <c r="F45" s="104" t="str">
        <f>PROPER(IF($D45="","",VLOOKUP($D45,'[1]m glavni turnir žrebna lista'!$A$7:$R$38,4)))</f>
        <v>Žan</v>
      </c>
      <c r="G45" s="104"/>
      <c r="H45" s="104" t="str">
        <f>IF($D45="","",VLOOKUP($D45,'[1]m glavni turnir žrebna lista'!$A$7:$R$38,5))</f>
        <v>TR-KR</v>
      </c>
      <c r="I45" s="105">
        <f>IF($D45="","",VLOOKUP($D45,'[1]m glavni turnir žrebna lista'!$A$7:$R$38,14))</f>
        <v>10</v>
      </c>
      <c r="J45" s="259" t="s">
        <v>104</v>
      </c>
      <c r="K45" s="119"/>
      <c r="L45" s="76"/>
      <c r="M45" s="345"/>
      <c r="N45" s="78"/>
      <c r="O45" s="79"/>
      <c r="P45" s="78"/>
      <c r="Q45" s="346"/>
      <c r="R45" s="82"/>
      <c r="S45" s="356"/>
      <c r="T45" s="356"/>
      <c r="U45" s="357">
        <f>IF($D45="","",VLOOKUP($D45,'[1]m glavni turnir žrebna lista'!$A$7:$R$38,2))</f>
        <v>6509</v>
      </c>
      <c r="V45" s="133">
        <v>1</v>
      </c>
      <c r="W45" s="359" t="str">
        <f>UPPER(IF($D$7="","",VLOOKUP($D$7,'[1]m glavni turnir žrebna lista'!$A$7:$R$38,3)))</f>
        <v>GORŠIČ</v>
      </c>
      <c r="X45" s="133" t="str">
        <f>PROPER(IF($D$7="","",VLOOKUP($D$7,'[1]m glavni turnir žrebna lista'!$A$7:$R$38,4)))</f>
        <v>Sebastijan</v>
      </c>
      <c r="Y45" s="142">
        <f>IF($W$45="","",IF($U$7&lt;&gt;$U$8,"",IF($J$9="bb",1,IF($J$9="","0",$I$9))))</f>
        <v>10</v>
      </c>
      <c r="Z45" s="131">
        <f>IF($W$45="","",IF($U$10&lt;&gt;$U$7,"",IF($L$11="bb",1,IF($L$11="","0",$K$12))))</f>
        <v>20</v>
      </c>
      <c r="AA45" s="142">
        <f>IF($W$45="","",IF($U$14&lt;&gt;$U$7,"",IF($N$15="bb",1,IF($N$15="","0",$M$18))))</f>
        <v>0</v>
      </c>
      <c r="AB45" s="142">
        <f>IF($W$45="","",IF($U$22&lt;&gt;$U$7,"",IF($P$23="bb",1,IF($P$23="","0",$O$30))))</f>
        <v>40</v>
      </c>
      <c r="AC45" s="141">
        <f>IF($W$45="","",IF($U$38&lt;&gt;$U$7,"",IF($P$39="bb",1,IF($P$39="","0",$Q$54))))</f>
      </c>
      <c r="AD45" s="131"/>
      <c r="AE45" s="358">
        <f aca="true" t="shared" si="3" ref="AE45:AE76">IF($C$2="B turnir",SUM(Y45:AD45)*0.1,SUM(Y45:AD45))</f>
        <v>70</v>
      </c>
      <c r="AF45" s="135">
        <f>IF($C7="","",'m glavni 32'!$C$7)</f>
        <v>5971</v>
      </c>
      <c r="AG45" s="133" t="str">
        <f>UPPER(IF($D$7="","",VLOOKUP($D$7,'[1]m glavni turnir žrebna lista'!$A$7:$R$38,3)))</f>
        <v>GORŠIČ</v>
      </c>
      <c r="AH45" s="133" t="str">
        <f>PROPER(IF($D$7="","",VLOOKUP($D$7,'[1]m glavni turnir žrebna lista'!$A$7:$R$38,4)))</f>
        <v>Sebastijan</v>
      </c>
      <c r="AI45" s="133" t="str">
        <f>UPPER(IF($D$7="","",VLOOKUP($D$7,'[1]m glavni turnir žrebna lista'!$A$7:$R$38,5)))</f>
        <v>SL-LJ</v>
      </c>
      <c r="AJ45" s="358">
        <f aca="true" t="shared" si="4" ref="AJ45:AJ76">SUM(AE7,AE45)</f>
        <v>250</v>
      </c>
    </row>
    <row r="46" spans="1:36" s="83" customFormat="1" ht="9" customHeight="1">
      <c r="A46" s="89"/>
      <c r="B46" s="90"/>
      <c r="C46" s="90"/>
      <c r="D46" s="109"/>
      <c r="E46" s="76"/>
      <c r="F46" s="76"/>
      <c r="G46" s="120"/>
      <c r="H46" s="121"/>
      <c r="I46" s="110"/>
      <c r="J46" s="76"/>
      <c r="K46" s="119"/>
      <c r="L46" s="93" t="s">
        <v>23</v>
      </c>
      <c r="M46" s="111" t="s">
        <v>24</v>
      </c>
      <c r="N46" s="95" t="str">
        <f>UPPER(IF(OR(M46="a",M46="as"),L42,IF(OR(M46="b",M46="bs"),L50,)))</f>
        <v>VOVK</v>
      </c>
      <c r="O46" s="360">
        <f>IF(OR(M46="a",M46="as"),M42,IF(OR(M46="b",M46="bs"),M50,))</f>
        <v>20</v>
      </c>
      <c r="P46" s="78"/>
      <c r="Q46" s="346"/>
      <c r="R46" s="82"/>
      <c r="S46" s="361"/>
      <c r="T46" s="356"/>
      <c r="U46" s="357">
        <f>IF(OR(M46="a",M46="as"),U42,IF(OR(M46="b",M46="bs"),U50,""))</f>
        <v>6591</v>
      </c>
      <c r="V46" s="133">
        <v>2</v>
      </c>
      <c r="W46" s="133" t="str">
        <f>UPPER(IF($D$9="","",VLOOKUP($D$9,'[1]m glavni turnir žrebna lista'!$A$7:$R$38,3)))</f>
        <v>DROBNIČ</v>
      </c>
      <c r="X46" s="133" t="str">
        <f>PROPER(IF($D$9="","",VLOOKUP($D$9,'[1]m glavni turnir žrebna lista'!$A$7:$R$38,4)))</f>
        <v>Žiga</v>
      </c>
      <c r="Y46" s="131">
        <f>IF(W46="","",IF($U$9&lt;&gt;$U$8,"",IF($J$9="bb",1,IF($J$9="","0",$I$7))))</f>
      </c>
      <c r="Z46" s="131">
        <f>IF($W$45="","",IF($U$10&lt;&gt;$U$9,"",IF($L$11="bb",1,IF($L$11="","0",$K$12))))</f>
      </c>
      <c r="AA46" s="131">
        <f>IF($W$45="","",IF($U$14&lt;&gt;$U$9,"",IF($N$15="bb",1,IF($N$15="","0",$M$18))))</f>
      </c>
      <c r="AB46" s="131">
        <f>IF($W$45="","",IF($U$22&lt;&gt;$U$9,"",IF($P$23="bb",1,IF($P$23="","0",$O$30))))</f>
      </c>
      <c r="AC46" s="131">
        <f>IF($W$45="","",IF($U$38&lt;&gt;$U$9,"",IF($P$39="bb",1,IF($P$39="","0",$Q$54))))</f>
      </c>
      <c r="AD46" s="131"/>
      <c r="AE46" s="358">
        <f t="shared" si="3"/>
        <v>0</v>
      </c>
      <c r="AF46" s="135">
        <f>IF($C9="","",'m glavni 32'!$C$9)</f>
        <v>6564</v>
      </c>
      <c r="AG46" s="133" t="str">
        <f>UPPER(IF($D$9="","",VLOOKUP($D$9,'[1]m glavni turnir žrebna lista'!$A$7:$R$38,3)))</f>
        <v>DROBNIČ</v>
      </c>
      <c r="AH46" s="133" t="str">
        <f>PROPER(IF($D$9="","",VLOOKUP($D$9,'[1]m glavni turnir žrebna lista'!$A$7:$R$38,4)))</f>
        <v>Žiga</v>
      </c>
      <c r="AI46" s="133" t="str">
        <f>UPPER(IF($D$9="","",VLOOKUP($D$9,'[1]m glavni turnir žrebna lista'!$A$7:$R$38,5)))</f>
        <v>ZKLUB</v>
      </c>
      <c r="AJ46" s="358">
        <f t="shared" si="4"/>
        <v>15</v>
      </c>
    </row>
    <row r="47" spans="1:36" s="83" customFormat="1" ht="9" customHeight="1">
      <c r="A47" s="89">
        <v>21</v>
      </c>
      <c r="B47" s="103" t="str">
        <f>IF($D47="","",VLOOKUP($D47,'[1]m glavni turnir žrebna lista'!$A$7:$R$38,17))</f>
        <v>D</v>
      </c>
      <c r="C47" s="103">
        <f>IF($D47="","",VLOOKUP($D47,'[1]m glavni turnir žrebna lista'!$A$7:$R$38,2))</f>
        <v>6392</v>
      </c>
      <c r="D47" s="74">
        <v>23</v>
      </c>
      <c r="E47" s="104" t="str">
        <f>UPPER(IF($D47="","",VLOOKUP($D47,'[1]m glavni turnir žrebna lista'!$A$7:$R$38,3)))</f>
        <v>JANŠA</v>
      </c>
      <c r="F47" s="104" t="str">
        <f>PROPER(IF($D47="","",VLOOKUP($D47,'[1]m glavni turnir žrebna lista'!$A$7:$R$38,4)))</f>
        <v>Vid</v>
      </c>
      <c r="G47" s="104"/>
      <c r="H47" s="104" t="str">
        <f>IF($D47="","",VLOOKUP($D47,'[1]m glavni turnir žrebna lista'!$A$7:$R$38,5))</f>
        <v>ŽTKMB</v>
      </c>
      <c r="I47" s="75">
        <f>IF($D47="","",VLOOKUP($D47,'[1]m glavni turnir žrebna lista'!$A$7:$R$38,14))</f>
        <v>10</v>
      </c>
      <c r="J47" s="76"/>
      <c r="K47" s="119"/>
      <c r="L47" s="76"/>
      <c r="M47" s="345"/>
      <c r="N47" s="259" t="s">
        <v>153</v>
      </c>
      <c r="O47" s="346"/>
      <c r="P47" s="78"/>
      <c r="Q47" s="346"/>
      <c r="R47" s="82"/>
      <c r="S47" s="150"/>
      <c r="T47" s="356"/>
      <c r="U47" s="357">
        <f>IF($D47="","",VLOOKUP($D47,'[1]m glavni turnir žrebna lista'!$A$7:$R$38,2))</f>
        <v>6392</v>
      </c>
      <c r="V47" s="133">
        <v>3</v>
      </c>
      <c r="W47" s="133" t="str">
        <f>UPPER(IF($D$11="","",VLOOKUP($D$11,'[1]m glavni turnir žrebna lista'!$A$7:$R$38,3)))</f>
        <v>KAPLJA</v>
      </c>
      <c r="X47" s="133" t="str">
        <f>PROPER(IF($D$11="","",VLOOKUP($D$11,'[1]m glavni turnir žrebna lista'!$A$7:$R$38,4)))</f>
        <v>Aljaž Jakob</v>
      </c>
      <c r="Y47" s="131">
        <f>IF(W47="","",IF($U$11&lt;&gt;$U$12,"",IF($J$13="bb",1,IF($J$13="","0",$I$13))))</f>
      </c>
      <c r="Z47" s="131">
        <f>IF($W$45="","",IF($U$10&lt;&gt;$U$11,"",IF($L$11="bb",1,IF($L$11="","0",$K$8))))</f>
      </c>
      <c r="AA47" s="131">
        <f>IF($W$45="","",IF($U$14&lt;&gt;$U$11,"",IF($N$15="bb",1,IF($N$15="","0",$M$18))))</f>
      </c>
      <c r="AB47" s="131">
        <f>IF($W$45="","",IF($U$22&lt;&gt;$U11,"",IF($P$23="bb",1,IF($P$23="","0",$O$30))))</f>
      </c>
      <c r="AC47" s="131">
        <f>IF($W$45="","",IF($U$38&lt;&gt;$U$11,"",IF($P$39="bb",1,IF($P$39="","0",$Q$54))))</f>
      </c>
      <c r="AD47" s="131"/>
      <c r="AE47" s="358">
        <f t="shared" si="3"/>
        <v>0</v>
      </c>
      <c r="AF47" s="135">
        <f>IF($C11="","",'m glavni 32'!$C$11)</f>
        <v>6789</v>
      </c>
      <c r="AG47" s="133" t="str">
        <f>UPPER(IF($D$11="","",VLOOKUP($D$11,'[1]m glavni turnir žrebna lista'!$A$7:$R$38,3)))</f>
        <v>KAPLJA</v>
      </c>
      <c r="AH47" s="133" t="str">
        <f>PROPER(IF($D$11="","",VLOOKUP($D$11,'[1]m glavni turnir žrebna lista'!$A$7:$R$38,4)))</f>
        <v>Aljaž Jakob</v>
      </c>
      <c r="AI47" s="133" t="str">
        <f>UPPER(IF($D$11="","",VLOOKUP($D$11,'[1]m glavni turnir žrebna lista'!$A$7:$R$38,5)))</f>
        <v>RADOM</v>
      </c>
      <c r="AJ47" s="358">
        <f t="shared" si="4"/>
        <v>15</v>
      </c>
    </row>
    <row r="48" spans="1:36" s="83" customFormat="1" ht="9" customHeight="1">
      <c r="A48" s="89"/>
      <c r="B48" s="90"/>
      <c r="C48" s="90"/>
      <c r="D48" s="109"/>
      <c r="E48" s="91"/>
      <c r="F48" s="91"/>
      <c r="G48" s="92"/>
      <c r="H48" s="93" t="s">
        <v>23</v>
      </c>
      <c r="I48" s="94" t="s">
        <v>26</v>
      </c>
      <c r="J48" s="95" t="str">
        <f>UPPER(IF(OR(I48="a",I48="as"),E47,IF(OR(I48="b",I48="bs"),E49,)))</f>
        <v>NIKOLAŠ</v>
      </c>
      <c r="K48" s="96">
        <f>IF(OR(I48="a",I48="as"),I47,IF(OR(I48="b",I48="bs"),I49,))</f>
        <v>10</v>
      </c>
      <c r="L48" s="76"/>
      <c r="M48" s="345"/>
      <c r="N48" s="78"/>
      <c r="O48" s="346"/>
      <c r="P48" s="78"/>
      <c r="Q48" s="346"/>
      <c r="R48" s="82"/>
      <c r="S48" s="150"/>
      <c r="T48" s="356"/>
      <c r="U48" s="357">
        <f>IF(OR(I48="a",I48="as"),C47,IF(OR(I48="b",I48="bs"),C49,""))</f>
        <v>6904</v>
      </c>
      <c r="V48" s="133">
        <v>4</v>
      </c>
      <c r="W48" s="133" t="str">
        <f>UPPER(IF($D$13="","",VLOOKUP($D$13,'[1]m glavni turnir žrebna lista'!$A$7:$R$38,3)))</f>
        <v>CVETKOVIČ</v>
      </c>
      <c r="X48" s="133" t="str">
        <f>PROPER(IF($D$13="","",VLOOKUP($D$13,'[1]m glavni turnir žrebna lista'!$A$7:$R$38,4)))</f>
        <v>Tom</v>
      </c>
      <c r="Y48" s="131">
        <f>IF(W48="","",IF($U$12&lt;&gt;$U$13,"",IF($J$13="bb",1,IF($J$13="","0",$I$11))))</f>
        <v>10</v>
      </c>
      <c r="Z48" s="131">
        <f>IF($W$45="","",IF($U$10&lt;&gt;$U$13,"",IF($L$11="bb",1,IF($L$11="","0",$K$8))))</f>
      </c>
      <c r="AA48" s="131">
        <f>IF($W$45="","",IF($U$14&lt;&gt;$U$13,"",IF($N$15="bb",1,IF($N$15="","0",$M$18))))</f>
      </c>
      <c r="AB48" s="131">
        <f>IF($W$45="","",IF($U$22&lt;&gt;$U$13,"",IF($P$23="bb",1,IF($P$23="","0",$O$30))))</f>
      </c>
      <c r="AC48" s="131">
        <f>IF($W$45="","",IF($U$38&lt;&gt;$U$13,"",IF($P$39="bb",1,IF($P$39="","0",$Q$54))))</f>
      </c>
      <c r="AD48" s="131"/>
      <c r="AE48" s="358">
        <f t="shared" si="3"/>
        <v>10</v>
      </c>
      <c r="AF48" s="135">
        <f>IF($C13="","",'m glavni 32'!$C$13)</f>
        <v>6242</v>
      </c>
      <c r="AG48" s="133" t="str">
        <f>UPPER(IF($D$13="","",VLOOKUP($D$13,'[1]m glavni turnir žrebna lista'!$A$7:$R$38,3)))</f>
        <v>CVETKOVIČ</v>
      </c>
      <c r="AH48" s="133" t="str">
        <f>PROPER(IF($D$13="","",VLOOKUP($D$13,'[1]m glavni turnir žrebna lista'!$A$7:$R$38,4)))</f>
        <v>Tom</v>
      </c>
      <c r="AI48" s="133" t="str">
        <f>UPPER(IF($D$13="","",VLOOKUP($D$13,'[1]m glavni turnir žrebna lista'!$A$7:$R$38,5)))</f>
        <v>RADOV</v>
      </c>
      <c r="AJ48" s="358">
        <f t="shared" si="4"/>
        <v>40</v>
      </c>
    </row>
    <row r="49" spans="1:36" s="83" customFormat="1" ht="9" customHeight="1">
      <c r="A49" s="89">
        <v>22</v>
      </c>
      <c r="B49" s="103" t="str">
        <f>IF($D49="","",VLOOKUP($D49,'[1]m glavni turnir žrebna lista'!$A$7:$R$38,17))</f>
        <v>L</v>
      </c>
      <c r="C49" s="103">
        <f>IF($D49="","",VLOOKUP($D49,'[1]m glavni turnir žrebna lista'!$A$7:$R$38,2))</f>
        <v>6904</v>
      </c>
      <c r="D49" s="74">
        <v>26</v>
      </c>
      <c r="E49" s="104" t="str">
        <f>UPPER(IF($D49="","",VLOOKUP($D49,'[1]m glavni turnir žrebna lista'!$A$7:$R$38,3)))</f>
        <v>NIKOLAŠ</v>
      </c>
      <c r="F49" s="104" t="str">
        <f>PROPER(IF($D49="","",VLOOKUP($D49,'[1]m glavni turnir žrebna lista'!$A$7:$R$38,4)))</f>
        <v>Klemen</v>
      </c>
      <c r="G49" s="104"/>
      <c r="H49" s="104" t="str">
        <f>IF($D49="","",VLOOKUP($D49,'[1]m glavni turnir žrebna lista'!$A$7:$R$38,5))</f>
        <v>TR-KR</v>
      </c>
      <c r="I49" s="105">
        <f>IF($D49="","",VLOOKUP($D49,'[1]m glavni turnir žrebna lista'!$A$7:$R$38,14))</f>
        <v>10</v>
      </c>
      <c r="J49" s="259" t="s">
        <v>105</v>
      </c>
      <c r="K49" s="107"/>
      <c r="L49" s="76"/>
      <c r="M49" s="345"/>
      <c r="N49" s="78"/>
      <c r="O49" s="346"/>
      <c r="P49" s="78"/>
      <c r="Q49" s="346"/>
      <c r="R49" s="82"/>
      <c r="S49" s="150"/>
      <c r="T49" s="356"/>
      <c r="U49" s="357">
        <f>IF($D49="","",VLOOKUP($D49,'[1]m glavni turnir žrebna lista'!$A$7:$R$38,2))</f>
        <v>6904</v>
      </c>
      <c r="V49" s="133">
        <v>5</v>
      </c>
      <c r="W49" s="133" t="str">
        <f>UPPER(IF($D$15="","",VLOOKUP($D$15,'[1]m glavni turnir žrebna lista'!$A$7:$R$38,3)))</f>
        <v>POVHE</v>
      </c>
      <c r="X49" s="133" t="str">
        <f>PROPER(IF($D$15="","",VLOOKUP($D$15,'[1]m glavni turnir žrebna lista'!$A$7:$R$38,4)))</f>
        <v>Miha</v>
      </c>
      <c r="Y49" s="131">
        <f>IF(W49="","",IF($U$16&lt;&gt;$U$15,"",IF($J$17="bb",1,IF($J$17="","0",$I$17))))</f>
        <v>10</v>
      </c>
      <c r="Z49" s="131">
        <f>IF($W$45="","",IF($U$18&lt;&gt;$U$15,"",IF($L$19="bb",1,IF($L$19="","0",$K$20))))</f>
      </c>
      <c r="AA49" s="131">
        <f>IF($W$45="","",IF($U$14&lt;&gt;$U$15,"",IF($N$15="bb",1,IF($N$15="","0",$M$10))))</f>
      </c>
      <c r="AB49" s="131">
        <f>IF($W$45="","",IF($U$22&lt;&gt;$U$15,"",IF($P$23="bb",1,IF($P$23="","0",$O$30))))</f>
      </c>
      <c r="AC49" s="131">
        <f>IF($W$45="","",IF($U$38&lt;&gt;$U$15,"",IF($P$39="bb",1,IF($P$39="","0",$Q$54))))</f>
      </c>
      <c r="AD49" s="131"/>
      <c r="AE49" s="358">
        <f t="shared" si="3"/>
        <v>10</v>
      </c>
      <c r="AF49" s="135">
        <f>IF($C15="","",'m glavni 32'!$C$15)</f>
        <v>6301</v>
      </c>
      <c r="AG49" s="133" t="str">
        <f>UPPER(IF($D$15="","",VLOOKUP($D$15,'[1]m glavni turnir žrebna lista'!$A$7:$R$38,3)))</f>
        <v>POVHE</v>
      </c>
      <c r="AH49" s="133" t="str">
        <f>PROPER(IF($D$15="","",VLOOKUP($D$15,'[1]m glavni turnir žrebna lista'!$A$7:$R$38,4)))</f>
        <v>Miha</v>
      </c>
      <c r="AI49" s="133" t="str">
        <f>UPPER(IF($D$15="","",VLOOKUP($D$15,'[1]m glavni turnir žrebna lista'!$A$7:$R$38,5)))</f>
        <v>KRŠKO</v>
      </c>
      <c r="AJ49" s="358">
        <f t="shared" si="4"/>
        <v>70</v>
      </c>
    </row>
    <row r="50" spans="1:36" s="83" customFormat="1" ht="9" customHeight="1">
      <c r="A50" s="89"/>
      <c r="B50" s="90"/>
      <c r="C50" s="90"/>
      <c r="D50" s="109"/>
      <c r="E50" s="91"/>
      <c r="F50" s="91"/>
      <c r="G50" s="92"/>
      <c r="H50" s="76"/>
      <c r="I50" s="110"/>
      <c r="J50" s="93" t="s">
        <v>23</v>
      </c>
      <c r="K50" s="111" t="s">
        <v>75</v>
      </c>
      <c r="L50" s="95" t="s">
        <v>143</v>
      </c>
      <c r="M50" s="347">
        <f>IF(OR(K50="a",K50="as"),K48,IF(OR(K50="b",K50="bs"),K52,))</f>
        <v>30</v>
      </c>
      <c r="N50" s="78"/>
      <c r="O50" s="346"/>
      <c r="P50" s="78"/>
      <c r="Q50" s="346"/>
      <c r="R50" s="82"/>
      <c r="S50" s="150"/>
      <c r="T50" s="356"/>
      <c r="U50" s="357">
        <f>IF(OR(K50="a",K50="as"),U48,IF(OR(K50="b",K50="bs"),U52,""))</f>
        <v>6231</v>
      </c>
      <c r="V50" s="133">
        <v>6</v>
      </c>
      <c r="W50" s="133" t="str">
        <f>UPPER(IF($D$17="","",VLOOKUP($D$17,'[1]m glavni turnir žrebna lista'!$A$7:$R$38,3)))</f>
        <v>BREZOVEC</v>
      </c>
      <c r="X50" s="133" t="str">
        <f>PROPER(IF($D$17="","",VLOOKUP($D$17,'[1]m glavni turnir žrebna lista'!$A$7:$R$38,4)))</f>
        <v>Peter</v>
      </c>
      <c r="Y50" s="131">
        <f>IF(W50="","",IF($U$16&lt;&gt;$U$17,"",IF($J$17="bb",1,IF($J$17="","0",$I$15))))</f>
      </c>
      <c r="Z50" s="131">
        <f>IF($W$45="","",IF($U$18&lt;&gt;$U$17,"",IF($L$19="bb",1,IF($L$19="","0",$K$20))))</f>
      </c>
      <c r="AA50" s="131">
        <f>IF($W$45="","",IF($U$14&lt;&gt;$U$17,"",IF($N$15="bb",1,IF($N$15="","0",$M$10))))</f>
      </c>
      <c r="AB50" s="131">
        <f>IF($W$45="","",IF($U$22&lt;&gt;$U$17,"",IF($P$23="bb",1,IF($P$23="","0",$O$30))))</f>
      </c>
      <c r="AC50" s="131">
        <f>IF($W$45="","",IF($U$38&lt;&gt;$U$17,"",IF($P$39="bb",1,IF($P$39="","0",$Q$54))))</f>
      </c>
      <c r="AD50" s="131"/>
      <c r="AE50" s="358">
        <f t="shared" si="3"/>
        <v>0</v>
      </c>
      <c r="AF50" s="135">
        <f>IF($C17="","",'m glavni 32'!$C$17)</f>
        <v>6467</v>
      </c>
      <c r="AG50" s="133" t="str">
        <f>UPPER(IF($D$17="","",VLOOKUP($D$17,'[1]m glavni turnir žrebna lista'!$A$7:$R$38,3)))</f>
        <v>BREZOVEC</v>
      </c>
      <c r="AH50" s="133" t="str">
        <f>PROPER(IF($D$17="","",VLOOKUP($D$17,'[1]m glavni turnir žrebna lista'!$A$7:$R$38,4)))</f>
        <v>Peter</v>
      </c>
      <c r="AI50" s="133" t="str">
        <f>UPPER(IF($D$17="","",VLOOKUP($D$17,'[1]m glavni turnir žrebna lista'!$A$7:$R$38,5)))</f>
        <v>PORTO</v>
      </c>
      <c r="AJ50" s="358">
        <f t="shared" si="4"/>
        <v>15</v>
      </c>
    </row>
    <row r="51" spans="1:36" s="83" customFormat="1" ht="9" customHeight="1">
      <c r="A51" s="89">
        <v>23</v>
      </c>
      <c r="B51" s="103" t="str">
        <f>IF($D51="","",VLOOKUP($D51,'[1]m glavni turnir žrebna lista'!$A$7:$R$38,17))</f>
        <v>K</v>
      </c>
      <c r="C51" s="103">
        <f>IF($D51="","",VLOOKUP($D51,'[1]m glavni turnir žrebna lista'!$A$7:$R$38,2))</f>
        <v>5852</v>
      </c>
      <c r="D51" s="74">
        <v>31</v>
      </c>
      <c r="E51" s="104" t="str">
        <f>UPPER(IF($D51="","",VLOOKUP($D51,'[1]m glavni turnir žrebna lista'!$A$7:$R$38,3)))</f>
        <v>ČUK</v>
      </c>
      <c r="F51" s="104" t="str">
        <f>PROPER(IF($D51="","",VLOOKUP($D51,'[1]m glavni turnir žrebna lista'!$A$7:$R$38,4)))</f>
        <v>Mark</v>
      </c>
      <c r="G51" s="104"/>
      <c r="H51" s="104" t="str">
        <f>IF($D51="","",VLOOKUP($D51,'[1]m glavni turnir žrebna lista'!$A$7:$R$38,5))</f>
        <v>ASLIT</v>
      </c>
      <c r="I51" s="75">
        <f>IF($D51="","",VLOOKUP($D51,'[1]m glavni turnir žrebna lista'!$A$7:$R$38,14))</f>
        <v>10</v>
      </c>
      <c r="J51" s="76"/>
      <c r="K51" s="114"/>
      <c r="L51" s="259" t="s">
        <v>127</v>
      </c>
      <c r="M51" s="343"/>
      <c r="N51" s="78"/>
      <c r="O51" s="346"/>
      <c r="P51" s="78"/>
      <c r="Q51" s="346"/>
      <c r="R51" s="82"/>
      <c r="S51" s="150"/>
      <c r="T51" s="356"/>
      <c r="U51" s="357">
        <f>IF($D51="","",VLOOKUP($D51,'[1]m glavni turnir žrebna lista'!$A$7:$R$38,2))</f>
        <v>5852</v>
      </c>
      <c r="V51" s="133">
        <v>7</v>
      </c>
      <c r="W51" s="133" t="str">
        <f>UPPER(IF($D$19="","",VLOOKUP($D$19,'[1]m glavni turnir žrebna lista'!$A$7:$R$38,3)))</f>
        <v>ŠTER</v>
      </c>
      <c r="X51" s="133" t="str">
        <f>PROPER(IF($D$19="","",VLOOKUP($D$19,'[1]m glavni turnir žrebna lista'!$A$7:$R$38,4)))</f>
        <v>Nejc</v>
      </c>
      <c r="Y51" s="131">
        <f>IF(W51="","",IF($U$20&lt;&gt;$U$19,"",IF($J$21="bb",1,IF($J$21="","0",$I$21))))</f>
      </c>
      <c r="Z51" s="131">
        <f>IF($W$45="","",IF($U$18&lt;&gt;$U$19,"",IF($L$19="bb",1,IF($L$19="","0",$K$16))))</f>
      </c>
      <c r="AA51" s="131">
        <f>IF($W$45="","",IF($U$14&lt;&gt;$U$19,"",IF($N$15="bb",1,IF($N$15="","0",$M$10))))</f>
      </c>
      <c r="AB51" s="131">
        <f>IF($W$45="","",IF($U$22&lt;&gt;$U$19,"",IF($P$23="bb",1,IF($P$23="","0",$O$30))))</f>
      </c>
      <c r="AC51" s="131">
        <f>IF($W$45="","",IF($U$38&lt;&gt;$U$19,"",IF($P$39="bb",1,IF($P$39="","0",$Q$54))))</f>
      </c>
      <c r="AD51" s="131"/>
      <c r="AE51" s="358">
        <f t="shared" si="3"/>
        <v>0</v>
      </c>
      <c r="AF51" s="135">
        <f>IF($C19="","",'m glavni 32'!$C$19)</f>
        <v>6219</v>
      </c>
      <c r="AG51" s="133" t="str">
        <f>UPPER(IF($D$19="","",VLOOKUP($D$19,'[1]m glavni turnir žrebna lista'!$A$7:$R$38,3)))</f>
        <v>ŠTER</v>
      </c>
      <c r="AH51" s="133" t="str">
        <f>PROPER(IF($D$19="","",VLOOKUP($D$19,'[1]m glavni turnir žrebna lista'!$A$7:$R$38,4)))</f>
        <v>Nejc</v>
      </c>
      <c r="AI51" s="133" t="str">
        <f>UPPER(IF($D$19="","",VLOOKUP($D$19,'[1]m glavni turnir žrebna lista'!$A$7:$R$38,5)))</f>
        <v>ASLIT</v>
      </c>
      <c r="AJ51" s="358">
        <f t="shared" si="4"/>
        <v>15</v>
      </c>
    </row>
    <row r="52" spans="1:36" s="83" customFormat="1" ht="9" customHeight="1">
      <c r="A52" s="89"/>
      <c r="B52" s="90"/>
      <c r="C52" s="90"/>
      <c r="D52" s="90"/>
      <c r="E52" s="91"/>
      <c r="F52" s="91"/>
      <c r="G52" s="92"/>
      <c r="H52" s="93" t="s">
        <v>23</v>
      </c>
      <c r="I52" s="94" t="s">
        <v>75</v>
      </c>
      <c r="J52" s="95" t="str">
        <f>UPPER(IF(OR(I52="a",I52="as"),E51,IF(OR(I52="b",I52="bs"),E53,)))</f>
        <v>OGOREVC</v>
      </c>
      <c r="K52" s="117">
        <f>IF(OR(I52="a",I52="as"),I51,IF(OR(I52="b",I52="bs"),I53,))</f>
        <v>30</v>
      </c>
      <c r="L52" s="76"/>
      <c r="M52" s="343"/>
      <c r="N52" s="78"/>
      <c r="O52" s="346"/>
      <c r="P52" s="78"/>
      <c r="Q52" s="346"/>
      <c r="R52" s="82"/>
      <c r="S52" s="362"/>
      <c r="U52" s="363">
        <f>IF(OR(I52="a",I52="as"),C51,IF(OR(I52="b",I52="bs"),C53,""))</f>
        <v>6231</v>
      </c>
      <c r="V52" s="133">
        <v>8</v>
      </c>
      <c r="W52" s="133" t="str">
        <f>UPPER(IF($D$21="","",VLOOKUP($D$21,'[1]m glavni turnir žrebna lista'!$A$7:$R$38,3)))</f>
        <v>GAŠPERŠIČ</v>
      </c>
      <c r="X52" s="133" t="str">
        <f>PROPER(IF($D$21="","",VLOOKUP($D$21,'[1]m glavni turnir žrebna lista'!$A$7:$R$38,4)))</f>
        <v>Žiga</v>
      </c>
      <c r="Y52" s="131">
        <f>IF(W52="","",IF($U$20&lt;&gt;$U$21,"",IF($J$21="bb",1,IF($J$21="","0",$I$19))))</f>
        <v>10</v>
      </c>
      <c r="Z52" s="131">
        <f>IF($W$45="","",IF($U$18&lt;&gt;$U$21,"",IF($L$19="bb",1,IF($L$19="","0",$K$16))))</f>
      </c>
      <c r="AA52" s="131">
        <f>IF($W$45="","",IF($U$14&lt;&gt;$U$21,"",IF($N$15="bb",1,IF($N$15="","0",$M$10))))</f>
      </c>
      <c r="AB52" s="131">
        <f>IF($W$45="","",IF($U$22&lt;&gt;$U$21,"",IF($P$23="bb",1,IF($P$23="","0",$O$30))))</f>
      </c>
      <c r="AC52" s="131">
        <f>IF($W$45="","",IF($U$38&lt;&gt;$U$21,"",IF($P$39="bb",1,IF($P$39="","0",$Q$54))))</f>
      </c>
      <c r="AD52" s="131"/>
      <c r="AE52" s="358">
        <f t="shared" si="3"/>
        <v>10</v>
      </c>
      <c r="AF52" s="135">
        <f>IF($C21="","",'m glavni 32'!$C$21)</f>
        <v>6166</v>
      </c>
      <c r="AG52" s="133" t="str">
        <f>UPPER(IF($D$21="","",VLOOKUP($D$21,'[1]m glavni turnir žrebna lista'!$A$7:$R$38,3)))</f>
        <v>GAŠPERŠIČ</v>
      </c>
      <c r="AH52" s="133" t="str">
        <f>PROPER(IF($D$21="","",VLOOKUP($D$21,'[1]m glavni turnir žrebna lista'!$A$7:$R$38,4)))</f>
        <v>Žiga</v>
      </c>
      <c r="AI52" s="133" t="str">
        <f>UPPER(IF($D$21="","",VLOOKUP($D$21,'[1]m glavni turnir žrebna lista'!$A$7:$R$38,5)))</f>
        <v>RADOV</v>
      </c>
      <c r="AJ52" s="358">
        <f t="shared" si="4"/>
        <v>40</v>
      </c>
    </row>
    <row r="53" spans="1:36" s="83" customFormat="1" ht="9" customHeight="1">
      <c r="A53" s="72">
        <v>24</v>
      </c>
      <c r="B53" s="73" t="str">
        <f>IF($D53="","",VLOOKUP($D53,'[1]m glavni turnir žrebna lista'!$A$7:$R$38,17))</f>
        <v>D</v>
      </c>
      <c r="C53" s="73">
        <f>IF($D53="","",VLOOKUP($D53,'[1]m glavni turnir žrebna lista'!$A$7:$R$38,2))</f>
        <v>6231</v>
      </c>
      <c r="D53" s="74">
        <v>4</v>
      </c>
      <c r="E53" s="73" t="str">
        <f>UPPER(IF($D53="","",VLOOKUP($D53,'[1]m glavni turnir žrebna lista'!$A$7:$R$38,3)))</f>
        <v>OGOREVC</v>
      </c>
      <c r="F53" s="73" t="str">
        <f>PROPER(IF($D53="","",VLOOKUP($D53,'[1]m glavni turnir žrebna lista'!$A$7:$R$38,4)))</f>
        <v>Nace</v>
      </c>
      <c r="G53" s="73"/>
      <c r="H53" s="73" t="str">
        <f>IF($D53="","",VLOOKUP($D53,'[1]m glavni turnir žrebna lista'!$A$7:$R$38,5))</f>
        <v>BENČ</v>
      </c>
      <c r="I53" s="105">
        <f>IF($D53="","",VLOOKUP($D53,'[1]m glavni turnir žrebna lista'!$A$7:$R$38,14))</f>
        <v>30</v>
      </c>
      <c r="J53" s="259" t="s">
        <v>97</v>
      </c>
      <c r="K53" s="119"/>
      <c r="L53" s="76"/>
      <c r="M53" s="343"/>
      <c r="N53" s="78"/>
      <c r="O53" s="346"/>
      <c r="P53" s="78"/>
      <c r="Q53" s="346"/>
      <c r="R53" s="82"/>
      <c r="S53" s="362"/>
      <c r="U53" s="314">
        <f>IF($D53="","",VLOOKUP($D53,'[1]m glavni turnir žrebna lista'!$A$7:$R$38,2))</f>
        <v>6231</v>
      </c>
      <c r="V53" s="133">
        <v>9</v>
      </c>
      <c r="W53" s="133" t="str">
        <f>UPPER(IF($D$23="","",VLOOKUP($D$23,'[1]m glavni turnir žrebna lista'!$A$7:$R$38,3)))</f>
        <v>CAJZEK</v>
      </c>
      <c r="X53" s="133" t="str">
        <f>PROPER(IF($D$23="","",VLOOKUP($D$23,'[1]m glavni turnir žrebna lista'!$A$7:$R$38,4)))</f>
        <v>Aljaž</v>
      </c>
      <c r="Y53" s="131">
        <f>IF(W53="","",IF($U$24&lt;&gt;$U$23,"",IF($J$25="bb",1,IF($J$25="","0",$I$25))))</f>
        <v>20</v>
      </c>
      <c r="Z53" s="131">
        <f>IF($W$45="","",IF($U$26&lt;&gt;$U$23,"",IF($L$27="bb",1,IF($L$27="","0",$K$28))))</f>
        <v>20</v>
      </c>
      <c r="AA53" s="131">
        <f>IF($W$45="","",IF($U$30&lt;&gt;$U$23,"",IF($N$31="bb",1,IF($N$31="","0",$M$34))))</f>
        <v>30</v>
      </c>
      <c r="AB53" s="131">
        <f>IF($W$45="","",IF($U$22&lt;&gt;$U$23,"",IF($P$23="bb",1,IF($P$23="","0",$O$14))))</f>
      </c>
      <c r="AC53" s="131">
        <f>IF($W$45="","",IF($U$38&lt;&gt;$U$23,"",IF($P$39="bb",1,IF($P$39="","0",$Q$54))))</f>
      </c>
      <c r="AD53" s="131"/>
      <c r="AE53" s="358">
        <f t="shared" si="3"/>
        <v>70</v>
      </c>
      <c r="AF53" s="135">
        <f>IF($C23="","",'m glavni 32'!$C$23)</f>
        <v>6449</v>
      </c>
      <c r="AG53" s="133" t="str">
        <f>UPPER(IF($D$23="","",VLOOKUP($D$23,'[1]m glavni turnir žrebna lista'!$A$7:$R$38,3)))</f>
        <v>CAJZEK</v>
      </c>
      <c r="AH53" s="133" t="str">
        <f>PROPER(IF($D$23="","",VLOOKUP($D$23,'[1]m glavni turnir žrebna lista'!$A$7:$R$38,4)))</f>
        <v>Aljaž</v>
      </c>
      <c r="AI53" s="133" t="str">
        <f>UPPER(IF($D$23="","",VLOOKUP($D$23,'[1]m glavni turnir žrebna lista'!$A$7:$R$38,5)))</f>
        <v>ROGAŠ</v>
      </c>
      <c r="AJ53" s="358">
        <f t="shared" si="4"/>
        <v>190</v>
      </c>
    </row>
    <row r="54" spans="1:36" s="83" customFormat="1" ht="9" customHeight="1">
      <c r="A54" s="89"/>
      <c r="B54" s="90"/>
      <c r="C54" s="90"/>
      <c r="D54" s="90"/>
      <c r="E54" s="121"/>
      <c r="F54" s="121"/>
      <c r="G54" s="126"/>
      <c r="H54" s="121"/>
      <c r="I54" s="110"/>
      <c r="J54" s="76"/>
      <c r="K54" s="119"/>
      <c r="L54" s="76"/>
      <c r="M54" s="343"/>
      <c r="N54" s="93" t="s">
        <v>23</v>
      </c>
      <c r="O54" s="111" t="s">
        <v>75</v>
      </c>
      <c r="P54" s="95" t="str">
        <f>UPPER(IF(OR(O54="a",O54="as"),N46,IF(OR(O54="b",O54="bs"),N62,)))</f>
        <v>GERMIČ</v>
      </c>
      <c r="Q54" s="350">
        <f>IF(OR(O54="a",O54="as"),O46,IF(OR(O54="b",O54="bs"),O62,))</f>
        <v>0</v>
      </c>
      <c r="R54" s="82"/>
      <c r="S54" s="362"/>
      <c r="U54" s="314">
        <f>IF(OR(O54="a",O54="as"),U46,IF(OR(O54="b",O54="bs"),U62,""))</f>
      </c>
      <c r="V54" s="133">
        <v>10</v>
      </c>
      <c r="W54" s="133" t="str">
        <f>UPPER(IF($D$25="","",VLOOKUP($D$25,'[1]m glavni turnir žrebna lista'!$A$7:$R$38,3)))</f>
        <v>KEGL</v>
      </c>
      <c r="X54" s="133" t="str">
        <f>PROPER(IF($D$25="","",VLOOKUP($D$25,'[1]m glavni turnir žrebna lista'!$A$7:$R$38,4)))</f>
        <v>Marino</v>
      </c>
      <c r="Y54" s="131">
        <f>IF(W54="","",IF($U$24&lt;&gt;$U$25,"",IF($J$25="bb",1,IF($J$25="","0",$I$23))))</f>
      </c>
      <c r="Z54" s="131">
        <f>IF($W$45="","",IF($U$26&lt;&gt;$U$25,"",IF($L$27="bb",1,IF($L$27="","0",$K$28))))</f>
      </c>
      <c r="AA54" s="131">
        <f>IF($W$45="","",IF($U$30&lt;&gt;$U$25,"",IF($N$31="bb",1,IF($N$31="","0",$M$34))))</f>
      </c>
      <c r="AB54" s="131">
        <f>IF($W$45="","",IF($U$22&lt;&gt;$U$25,"",IF($P$23="bb",1,IF($P$23="","0",$O$14))))</f>
      </c>
      <c r="AC54" s="131">
        <f>IF($W$45="","",IF($U$38&lt;&gt;$U$25,"",IF($P$39="bb",1,IF($P$39="","0",$Q$54))))</f>
      </c>
      <c r="AD54" s="131"/>
      <c r="AE54" s="358">
        <f t="shared" si="3"/>
        <v>0</v>
      </c>
      <c r="AF54" s="135">
        <f>IF($C25="","",'m glavni 32'!$C$25)</f>
        <v>6368</v>
      </c>
      <c r="AG54" s="133" t="str">
        <f>UPPER(IF($D$25="","",VLOOKUP($D$25,'[1]m glavni turnir žrebna lista'!$A$7:$R$38,3)))</f>
        <v>KEGL</v>
      </c>
      <c r="AH54" s="133" t="str">
        <f>PROPER(IF($D$25="","",VLOOKUP($D$25,'[1]m glavni turnir žrebna lista'!$A$7:$R$38,4)))</f>
        <v>Marino</v>
      </c>
      <c r="AI54" s="133" t="str">
        <f>UPPER(IF($D$25="","",VLOOKUP($D$25,'[1]m glavni turnir žrebna lista'!$A$7:$R$38,5)))</f>
        <v>TENMS</v>
      </c>
      <c r="AJ54" s="358">
        <f t="shared" si="4"/>
        <v>15</v>
      </c>
    </row>
    <row r="55" spans="1:36" s="83" customFormat="1" ht="9" customHeight="1">
      <c r="A55" s="72">
        <v>25</v>
      </c>
      <c r="B55" s="73" t="str">
        <f>IF($D55="","",VLOOKUP($D55,'[1]m glavni turnir žrebna lista'!$A$7:$R$38,17))</f>
        <v>D</v>
      </c>
      <c r="C55" s="73">
        <f>IF($D55="","",VLOOKUP($D55,'[1]m glavni turnir žrebna lista'!$A$7:$R$38,2))</f>
        <v>6061</v>
      </c>
      <c r="D55" s="74">
        <v>5</v>
      </c>
      <c r="E55" s="73" t="str">
        <f>UPPER(IF($D55="","",VLOOKUP($D55,'[1]m glavni turnir žrebna lista'!$A$7:$R$38,3)))</f>
        <v>GERMIČ</v>
      </c>
      <c r="F55" s="73" t="str">
        <f>PROPER(IF($D55="","",VLOOKUP($D55,'[1]m glavni turnir žrebna lista'!$A$7:$R$38,4)))</f>
        <v>Aleš</v>
      </c>
      <c r="G55" s="73"/>
      <c r="H55" s="73" t="str">
        <f>IF($D55="","",VLOOKUP($D55,'[1]m glavni turnir žrebna lista'!$A$7:$R$38,5))</f>
        <v>ŽTKMB</v>
      </c>
      <c r="I55" s="75">
        <f>IF($D55="","",VLOOKUP($D55,'[1]m glavni turnir žrebna lista'!$A$7:$R$38,14))</f>
        <v>30</v>
      </c>
      <c r="J55" s="76"/>
      <c r="K55" s="119"/>
      <c r="L55" s="76"/>
      <c r="M55" s="343"/>
      <c r="N55" s="78"/>
      <c r="O55" s="346"/>
      <c r="P55" s="259" t="s">
        <v>170</v>
      </c>
      <c r="Q55" s="79"/>
      <c r="R55" s="82"/>
      <c r="S55" s="362"/>
      <c r="U55" s="314">
        <f>IF($D55="","",VLOOKUP($D55,'[1]m glavni turnir žrebna lista'!$A$7:$R$38,2))</f>
        <v>6061</v>
      </c>
      <c r="V55" s="133">
        <v>11</v>
      </c>
      <c r="W55" s="133" t="str">
        <f>UPPER(IF($D$27="","",VLOOKUP($D$27,'[1]m glavni turnir žrebna lista'!$A$7:$R$38,3)))</f>
        <v>HOBACHER</v>
      </c>
      <c r="X55" s="133" t="str">
        <f>PROPER(IF($D$27="","",VLOOKUP($D$27,'[1]m glavni turnir žrebna lista'!$A$7:$R$38,4)))</f>
        <v>Dominik</v>
      </c>
      <c r="Y55" s="131">
        <f>IF(W55="","",IF($U$28&lt;&gt;$U$27,"",IF($J$29="bb",1,IF($J$29="","0",$I$29))))</f>
      </c>
      <c r="Z55" s="131">
        <f>IF($W$45="","",IF($U$26&lt;&gt;$U$27,"",IF($L$27="bb",1,IF($L$27="","0",$K$24))))</f>
      </c>
      <c r="AA55" s="131">
        <f>IF($W$45="","",IF($U$30&lt;&gt;$U$27,"",IF($N$31="bb",1,IF($N$31="","0",$M$34))))</f>
      </c>
      <c r="AB55" s="131">
        <f>IF($W$45="","",IF($U$22&lt;&gt;$U$27,"",IF($P$23="bb",1,IF($P$23="","0",$O$14))))</f>
      </c>
      <c r="AC55" s="131">
        <f>IF($W$45="","",IF($U$38&lt;&gt;$U$27,"",IF($P$39="bb",1,IF($P$39="","0",$Q$54))))</f>
      </c>
      <c r="AD55" s="131"/>
      <c r="AE55" s="358">
        <f t="shared" si="3"/>
        <v>0</v>
      </c>
      <c r="AF55" s="135">
        <f>IF($C27="","",'m glavni 32'!$C$27)</f>
        <v>6030</v>
      </c>
      <c r="AG55" s="133" t="str">
        <f>UPPER(IF($D$27="","",VLOOKUP($D$27,'[1]m glavni turnir žrebna lista'!$A$7:$R$38,3)))</f>
        <v>HOBACHER</v>
      </c>
      <c r="AH55" s="133" t="str">
        <f>PROPER(IF($D$27="","",VLOOKUP($D$27,'[1]m glavni turnir žrebna lista'!$A$7:$R$38,4)))</f>
        <v>Dominik</v>
      </c>
      <c r="AI55" s="133" t="str">
        <f>UPPER(IF($D$27="","",VLOOKUP($D$27,'[1]m glavni turnir žrebna lista'!$A$7:$R$38,5)))</f>
        <v>TKCEN</v>
      </c>
      <c r="AJ55" s="358">
        <f t="shared" si="4"/>
        <v>15</v>
      </c>
    </row>
    <row r="56" spans="1:36" s="83" customFormat="1" ht="9" customHeight="1">
      <c r="A56" s="89"/>
      <c r="B56" s="90"/>
      <c r="C56" s="90"/>
      <c r="D56" s="90"/>
      <c r="E56" s="91"/>
      <c r="F56" s="91"/>
      <c r="G56" s="92"/>
      <c r="H56" s="93" t="s">
        <v>23</v>
      </c>
      <c r="I56" s="94" t="s">
        <v>24</v>
      </c>
      <c r="J56" s="95" t="str">
        <f>UPPER(IF(OR(I56="a",I56="as"),E55,IF(OR(I56="b",I56="bs"),E57,)))</f>
        <v>GERMIČ</v>
      </c>
      <c r="K56" s="96">
        <f>IF(OR(I56="a",I56="as"),I55,IF(OR(I56="b",I56="bs"),I57,))</f>
        <v>30</v>
      </c>
      <c r="L56" s="76"/>
      <c r="M56" s="343"/>
      <c r="N56" s="78"/>
      <c r="O56" s="346"/>
      <c r="P56" s="78"/>
      <c r="Q56" s="79"/>
      <c r="R56" s="82"/>
      <c r="S56" s="362"/>
      <c r="U56" s="314">
        <f>IF(OR(I56="a",I56="as"),C55,IF(OR(I56="b",I56="bs"),C57,""))</f>
        <v>6061</v>
      </c>
      <c r="V56" s="133">
        <v>12</v>
      </c>
      <c r="W56" s="133" t="str">
        <f>UPPER(IF($D$29="","",VLOOKUP($D$29,'[1]m glavni turnir žrebna lista'!$A$7:$R$38,3)))</f>
        <v>GAŠPERŠIČ</v>
      </c>
      <c r="X56" s="133" t="str">
        <f>PROPER(IF($D$29="","",VLOOKUP($D$29,'[1]m glavni turnir žrebna lista'!$A$7:$R$38,4)))</f>
        <v>Gregor</v>
      </c>
      <c r="Y56" s="131">
        <f>IF(W56="","",IF($U$28&lt;&gt;$U$29,"",IF($J$29="bb",1,IF($J$29="","0",$I$27))))</f>
        <v>10</v>
      </c>
      <c r="Z56" s="131">
        <f>IF($W$45="","",IF($U$26&lt;&gt;$U$29,"",IF($L$27="bb",1,IF($L$27="","0",$K$24))))</f>
      </c>
      <c r="AA56" s="131">
        <f>IF($W$45="","",IF($U$30&lt;&gt;$U$29,"",IF($N$31="bb",1,IF($N$31="","0",$M$34))))</f>
      </c>
      <c r="AB56" s="131">
        <f>IF($W$45="","",IF($U$22&lt;&gt;$U$29,"",IF($P$23="bb",1,IF($P$23="","0",$O$14))))</f>
      </c>
      <c r="AC56" s="131">
        <f>IF($W$45="","",IF($U$38&lt;&gt;$U$29,"",IF($P$39="bb",1,IF($P$39="","0",$Q$54))))</f>
      </c>
      <c r="AD56" s="131"/>
      <c r="AE56" s="358">
        <f t="shared" si="3"/>
        <v>10</v>
      </c>
      <c r="AF56" s="135">
        <f>IF($C29="","",'m glavni 32'!$C$29)</f>
        <v>6165</v>
      </c>
      <c r="AG56" s="133" t="str">
        <f>UPPER(IF($D$29="","",VLOOKUP($D$29,'[1]m glavni turnir žrebna lista'!$A$7:$R$38,3)))</f>
        <v>GAŠPERŠIČ</v>
      </c>
      <c r="AH56" s="133" t="str">
        <f>PROPER(IF($D$29="","",VLOOKUP($D$29,'[1]m glavni turnir žrebna lista'!$A$7:$R$38,4)))</f>
        <v>Gregor</v>
      </c>
      <c r="AI56" s="133" t="str">
        <f>UPPER(IF($D$29="","",VLOOKUP($D$29,'[1]m glavni turnir žrebna lista'!$A$7:$R$38,5)))</f>
        <v>RADOV</v>
      </c>
      <c r="AJ56" s="358">
        <f t="shared" si="4"/>
        <v>40</v>
      </c>
    </row>
    <row r="57" spans="1:36" s="83" customFormat="1" ht="9" customHeight="1">
      <c r="A57" s="89">
        <v>26</v>
      </c>
      <c r="B57" s="103" t="str">
        <f>IF($D57="","",VLOOKUP($D57,'[1]m glavni turnir žrebna lista'!$A$7:$R$38,17))</f>
        <v>K</v>
      </c>
      <c r="C57" s="103">
        <f>IF($D57="","",VLOOKUP($D57,'[1]m glavni turnir žrebna lista'!$A$7:$R$38,2))</f>
        <v>6917</v>
      </c>
      <c r="D57" s="74">
        <v>32</v>
      </c>
      <c r="E57" s="104" t="str">
        <f>UPPER(IF($D57="","",VLOOKUP($D57,'[1]m glavni turnir žrebna lista'!$A$7:$R$38,3)))</f>
        <v>LAVRENČIČ</v>
      </c>
      <c r="F57" s="104" t="str">
        <f>PROPER(IF($D57="","",VLOOKUP($D57,'[1]m glavni turnir žrebna lista'!$A$7:$R$38,4)))</f>
        <v>Nejc</v>
      </c>
      <c r="G57" s="104"/>
      <c r="H57" s="104" t="str">
        <f>IF($D57="","",VLOOKUP($D57,'[1]m glavni turnir žrebna lista'!$A$7:$R$38,5))</f>
        <v>N.GOR</v>
      </c>
      <c r="I57" s="105">
        <f>IF($D57="","",VLOOKUP($D57,'[1]m glavni turnir žrebna lista'!$A$7:$R$38,14))</f>
        <v>10</v>
      </c>
      <c r="J57" s="259" t="s">
        <v>101</v>
      </c>
      <c r="K57" s="107"/>
      <c r="L57" s="76"/>
      <c r="M57" s="78"/>
      <c r="O57" s="346"/>
      <c r="P57" s="78"/>
      <c r="Q57" s="79"/>
      <c r="R57" s="82"/>
      <c r="S57" s="362"/>
      <c r="U57" s="314">
        <f>IF($D57="","",VLOOKUP($D57,'[1]m glavni turnir žrebna lista'!$A$7:$R$38,2))</f>
        <v>6917</v>
      </c>
      <c r="V57" s="133">
        <v>13</v>
      </c>
      <c r="W57" s="133" t="str">
        <f>UPPER(IF($D$31="","",VLOOKUP($D$31,'[1]m glavni turnir žrebna lista'!$A$7:$R$38,3)))</f>
        <v>DERNIČ</v>
      </c>
      <c r="X57" s="133" t="str">
        <f>PROPER(IF($D$31="","",VLOOKUP($D$31,'[1]m glavni turnir žrebna lista'!$A$7:$R$38,4)))</f>
        <v>Jan</v>
      </c>
      <c r="Y57" s="131">
        <f>IF(W57="","",IF($U$32&lt;&gt;$U$31,"",IF($J$33="bb",1,IF($J$33="","0",$I$33))))</f>
        <v>20</v>
      </c>
      <c r="Z57" s="131">
        <f>IF($W$45="","",IF($U$34&lt;&gt;$U$31,"",IF($L$35="bb",1,IF($L$35="","0",$K$36))))</f>
      </c>
      <c r="AA57" s="131">
        <f>IF($W$45="","",IF($U$30&lt;&gt;$U$31,"",IF($N$31="bb",1,IF($N$31="","0",$M$26))))</f>
      </c>
      <c r="AB57" s="131">
        <f>IF($W$45="","",IF($U$22&lt;&gt;$U$31,"",IF($P$23="bb",1,IF($P$23="","0",$O$14))))</f>
      </c>
      <c r="AC57" s="131">
        <f>IF($W$45="","",IF($U$38&lt;&gt;$U$31,"",IF($P$39="bb",1,IF($P$39="","0",$Q$54))))</f>
      </c>
      <c r="AD57" s="131"/>
      <c r="AE57" s="358">
        <f t="shared" si="3"/>
        <v>20</v>
      </c>
      <c r="AF57" s="135">
        <f>IF($C31="","",'m glavni 32'!$C$31)</f>
        <v>6576</v>
      </c>
      <c r="AG57" s="133" t="str">
        <f>UPPER(IF($D$31="","",VLOOKUP($D$31,'[1]m glavni turnir žrebna lista'!$A$7:$R$38,3)))</f>
        <v>DERNIČ</v>
      </c>
      <c r="AH57" s="133" t="str">
        <f>PROPER(IF($D$31="","",VLOOKUP($D$31,'[1]m glavni turnir žrebna lista'!$A$7:$R$38,4)))</f>
        <v>Jan</v>
      </c>
      <c r="AI57" s="133" t="str">
        <f>UPPER(IF($D$31="","",VLOOKUP($D$31,'[1]m glavni turnir žrebna lista'!$A$7:$R$38,5)))</f>
        <v>PORTO</v>
      </c>
      <c r="AJ57" s="358">
        <f t="shared" si="4"/>
        <v>50</v>
      </c>
    </row>
    <row r="58" spans="1:36" s="83" customFormat="1" ht="9" customHeight="1">
      <c r="A58" s="89"/>
      <c r="B58" s="90"/>
      <c r="C58" s="90"/>
      <c r="D58" s="109"/>
      <c r="E58" s="91"/>
      <c r="F58" s="91"/>
      <c r="G58" s="92"/>
      <c r="H58" s="91"/>
      <c r="I58" s="110"/>
      <c r="J58" s="93" t="s">
        <v>23</v>
      </c>
      <c r="K58" s="111" t="s">
        <v>160</v>
      </c>
      <c r="L58" s="95" t="s">
        <v>141</v>
      </c>
      <c r="M58" s="342">
        <f>IF(OR(K58="a",K58="as"),K56,IF(OR(K58="b",K58="bs"),K60,))</f>
        <v>0</v>
      </c>
      <c r="N58" s="78"/>
      <c r="O58" s="346"/>
      <c r="P58" s="78"/>
      <c r="Q58" s="79"/>
      <c r="R58" s="82"/>
      <c r="S58" s="362"/>
      <c r="U58" s="314">
        <f>IF(OR(K58="a",K58="as"),U56,IF(OR(K58="b",K58="bs"),U60,""))</f>
      </c>
      <c r="V58" s="133">
        <v>14</v>
      </c>
      <c r="W58" s="133" t="str">
        <f>UPPER(IF($D$33="","",VLOOKUP($D$33,'[1]m glavni turnir žrebna lista'!$A$7:$R$38,3)))</f>
        <v>LOVIŠČEK</v>
      </c>
      <c r="X58" s="133" t="str">
        <f>PROPER(IF($D$33="","",VLOOKUP($D$33,'[1]m glavni turnir žrebna lista'!$A$7:$R$38,4)))</f>
        <v>Anže</v>
      </c>
      <c r="Y58" s="131">
        <f>IF(W58="","",IF($U$32&lt;&gt;$U$33,"",IF($J$33="bb",1,IF($J$33="","0",$I$31))))</f>
      </c>
      <c r="Z58" s="131">
        <f>IF($W$45="","",IF($U$34&lt;&gt;$U$33,"",IF($L$35="bb",1,IF($L$35="","0",$K$36))))</f>
      </c>
      <c r="AA58" s="131">
        <f>IF($W$45="","",IF($U$30&lt;&gt;$U$33,"",IF($N$31="bb",1,IF($N$31="","0",$M$26))))</f>
      </c>
      <c r="AB58" s="131">
        <f>IF($W$45="","",IF($U$22&lt;&gt;$U$33,"",IF($P$23="bb",1,IF($P$23="","0",$O$14))))</f>
      </c>
      <c r="AC58" s="131">
        <f>IF($W$45="","",IF($U$38&lt;&gt;$U$33,"",IF($P$39="bb",1,IF($P$39="","0",$Q$54))))</f>
      </c>
      <c r="AD58" s="131"/>
      <c r="AE58" s="358">
        <f t="shared" si="3"/>
        <v>0</v>
      </c>
      <c r="AF58" s="135">
        <f>IF($C33="","",'m glavni 32'!$C$33)</f>
        <v>6228</v>
      </c>
      <c r="AG58" s="133" t="str">
        <f>UPPER(IF($D$33="","",VLOOKUP($D$33,'[1]m glavni turnir žrebna lista'!$A$7:$R$38,3)))</f>
        <v>LOVIŠČEK</v>
      </c>
      <c r="AH58" s="133" t="str">
        <f>PROPER(IF($D$33="","",VLOOKUP($D$33,'[1]m glavni turnir žrebna lista'!$A$7:$R$38,4)))</f>
        <v>Anže</v>
      </c>
      <c r="AI58" s="133" t="str">
        <f>UPPER(IF($D$33="","",VLOOKUP($D$33,'[1]m glavni turnir žrebna lista'!$A$7:$R$38,5)))</f>
        <v>TABRE</v>
      </c>
      <c r="AJ58" s="358">
        <f t="shared" si="4"/>
        <v>15</v>
      </c>
    </row>
    <row r="59" spans="1:36" s="83" customFormat="1" ht="9" customHeight="1">
      <c r="A59" s="89">
        <v>27</v>
      </c>
      <c r="B59" s="103" t="str">
        <f>IF($D59="","",VLOOKUP($D59,'[1]m glavni turnir žrebna lista'!$A$7:$R$38,17))</f>
        <v>D</v>
      </c>
      <c r="C59" s="103">
        <f>IF($D59="","",VLOOKUP($D59,'[1]m glavni turnir žrebna lista'!$A$7:$R$38,2))</f>
        <v>5908</v>
      </c>
      <c r="D59" s="74">
        <v>9</v>
      </c>
      <c r="E59" s="104" t="str">
        <f>UPPER(IF($D59="","",VLOOKUP($D59,'[1]m glavni turnir žrebna lista'!$A$7:$R$38,3)))</f>
        <v>FUGINA</v>
      </c>
      <c r="F59" s="104" t="str">
        <f>PROPER(IF($D59="","",VLOOKUP($D59,'[1]m glavni turnir žrebna lista'!$A$7:$R$38,4)))</f>
        <v>Vid</v>
      </c>
      <c r="G59" s="104"/>
      <c r="H59" s="104" t="str">
        <f>IF($D59="","",VLOOKUP($D59,'[1]m glavni turnir žrebna lista'!$A$7:$R$38,5))</f>
        <v>TC-LJ</v>
      </c>
      <c r="I59" s="75">
        <f>IF($D59="","",VLOOKUP($D59,'[1]m glavni turnir žrebna lista'!$A$7:$R$38,14))</f>
        <v>20</v>
      </c>
      <c r="J59" s="76"/>
      <c r="K59" s="114"/>
      <c r="L59" s="259" t="s">
        <v>94</v>
      </c>
      <c r="M59" s="345"/>
      <c r="N59" s="78"/>
      <c r="O59" s="346"/>
      <c r="P59" s="78"/>
      <c r="Q59" s="79"/>
      <c r="R59" s="144"/>
      <c r="S59" s="362"/>
      <c r="U59" s="314">
        <f>IF($D59="","",VLOOKUP($D59,'[1]m glavni turnir žrebna lista'!$A$7:$R$38,2))</f>
        <v>5908</v>
      </c>
      <c r="V59" s="133">
        <v>15</v>
      </c>
      <c r="W59" s="133" t="str">
        <f>UPPER(IF($D$35="","",VLOOKUP($D$35,'[1]m glavni turnir žrebna lista'!$A$7:$R$38,3)))</f>
        <v>BIČIČ</v>
      </c>
      <c r="X59" s="133" t="str">
        <f>PROPER(IF($D$35="","",VLOOKUP($D$35,'[1]m glavni turnir žrebna lista'!$A$7:$R$38,4)))</f>
        <v>Alex</v>
      </c>
      <c r="Y59" s="131">
        <f>IF(W59="","",IF($U$36&lt;&gt;$U$35,"",IF($J$37="bb",1,IF($J$37="","0",$I$37))))</f>
      </c>
      <c r="Z59" s="131">
        <f>IF($W$45="","",IF($U$34&lt;&gt;$U$35,"",IF($L$35="bb",1,IF($L$35="","0",$K$32))))</f>
      </c>
      <c r="AA59" s="131">
        <f>IF($W$45="","",IF($U$30&lt;&gt;$U$35,"",IF($N$31="bb",1,IF($N$31="","0",$M$26))))</f>
      </c>
      <c r="AB59" s="131">
        <f>IF($W$45="","",IF($U$22&lt;&gt;$U$35,"",IF($P$23="bb",1,IF($P$23="","0",$O$14))))</f>
      </c>
      <c r="AC59" s="131">
        <f>IF($W$45="","",IF($U$38&lt;&gt;$U$35,"",IF($P$39="bb",1,IF($P$39="","0",$Q$54))))</f>
      </c>
      <c r="AD59" s="131"/>
      <c r="AE59" s="358">
        <f t="shared" si="3"/>
        <v>0</v>
      </c>
      <c r="AF59" s="135">
        <f>IF($C35="","",'m glavni 32'!$C$35)</f>
        <v>6578</v>
      </c>
      <c r="AG59" s="133" t="str">
        <f>UPPER(IF($D$35="","",VLOOKUP($D$35,'[1]m glavni turnir žrebna lista'!$A$7:$R$38,3)))</f>
        <v>BIČIČ</v>
      </c>
      <c r="AH59" s="133" t="str">
        <f>PROPER(IF($D$35="","",VLOOKUP($D$35,'[1]m glavni turnir žrebna lista'!$A$7:$R$38,4)))</f>
        <v>Alex</v>
      </c>
      <c r="AI59" s="133" t="str">
        <f>UPPER(IF($D$35="","",VLOOKUP($D$35,'[1]m glavni turnir žrebna lista'!$A$7:$R$38,5)))</f>
        <v>PORTO</v>
      </c>
      <c r="AJ59" s="358">
        <f t="shared" si="4"/>
        <v>15</v>
      </c>
    </row>
    <row r="60" spans="1:36" s="83" customFormat="1" ht="9" customHeight="1">
      <c r="A60" s="89"/>
      <c r="B60" s="90"/>
      <c r="C60" s="90"/>
      <c r="D60" s="109"/>
      <c r="E60" s="91"/>
      <c r="F60" s="91"/>
      <c r="G60" s="92"/>
      <c r="H60" s="93" t="s">
        <v>23</v>
      </c>
      <c r="I60" s="94" t="s">
        <v>27</v>
      </c>
      <c r="J60" s="95" t="str">
        <f>UPPER(IF(OR(I60="a",I60="as"),E59,IF(OR(I60="b",I60="bs"),E61,)))</f>
        <v>FUGINA</v>
      </c>
      <c r="K60" s="117">
        <f>IF(OR(I60="a",I60="as"),I59,IF(OR(I60="b",I60="bs"),I61,))</f>
        <v>20</v>
      </c>
      <c r="L60" s="76"/>
      <c r="M60" s="345"/>
      <c r="N60" s="78"/>
      <c r="O60" s="346"/>
      <c r="P60" s="419"/>
      <c r="Q60" s="420"/>
      <c r="R60" s="82"/>
      <c r="S60" s="362"/>
      <c r="U60" s="314">
        <f>IF(OR(I60="a",I60="as"),C59,IF(OR(I60="b",I60="bs"),C61,""))</f>
        <v>5908</v>
      </c>
      <c r="V60" s="133">
        <v>16</v>
      </c>
      <c r="W60" s="133" t="str">
        <f>UPPER(IF($D$37="","",VLOOKUP($D$37,'[1]m glavni turnir žrebna lista'!$A$7:$R$38,3)))</f>
        <v>VOVK</v>
      </c>
      <c r="X60" s="133" t="str">
        <f>PROPER(IF($D$37="","",VLOOKUP($D$37,'[1]m glavni turnir žrebna lista'!$A$7:$R$38,4)))</f>
        <v>Gregor</v>
      </c>
      <c r="Y60" s="131">
        <f>IF(W60="","",IF($U$36&lt;&gt;$U$37,"",IF($J$37="bb",1,IF($J$37="","0",$I$35))))</f>
        <v>20</v>
      </c>
      <c r="Z60" s="131">
        <f>IF($W$45="","",IF($U$34&lt;&gt;$U$37,"",IF($L$35="bb",1,IF($L$35="","0",$K$32))))</f>
        <v>20</v>
      </c>
      <c r="AA60" s="131">
        <f>IF($W$45="","",IF($U$30&lt;&gt;$U$37,"",IF($N$31="bb",1,IF($N$31="","0",$M$26))))</f>
      </c>
      <c r="AB60" s="131">
        <f>IF($W$45="","",IF($U$22&lt;&gt;$U$37,"",IF($P$23="bb",1,IF($P$23="","0",$O$14))))</f>
      </c>
      <c r="AC60" s="131">
        <f>IF($W$45="","",IF($U$38&lt;&gt;$U$37,"",IF($P$39="bb",1,IF($P$39="","0",$Q$54))))</f>
      </c>
      <c r="AD60" s="131"/>
      <c r="AE60" s="358">
        <f t="shared" si="3"/>
        <v>40</v>
      </c>
      <c r="AF60" s="135">
        <f>IF($C37="","",'m glavni 32'!$C$37)</f>
        <v>6592</v>
      </c>
      <c r="AG60" s="133" t="str">
        <f>UPPER(IF($D$37="","",VLOOKUP($D$37,'[1]m glavni turnir žrebna lista'!$A$7:$R$38,3)))</f>
        <v>VOVK</v>
      </c>
      <c r="AH60" s="133" t="str">
        <f>PROPER(IF($D$37="","",VLOOKUP($D$37,'[1]m glavni turnir žrebna lista'!$A$7:$R$38,4)))</f>
        <v>Gregor</v>
      </c>
      <c r="AI60" s="133" t="str">
        <f>UPPER(IF($D$37="","",VLOOKUP($D$37,'[1]m glavni turnir žrebna lista'!$A$7:$R$38,5)))</f>
        <v>STRAŽ</v>
      </c>
      <c r="AJ60" s="358">
        <f t="shared" si="4"/>
        <v>100</v>
      </c>
    </row>
    <row r="61" spans="1:36" s="83" customFormat="1" ht="9" customHeight="1">
      <c r="A61" s="89">
        <v>28</v>
      </c>
      <c r="B61" s="103" t="str">
        <f>IF($D61="","",VLOOKUP($D61,'[1]m glavni turnir žrebna lista'!$A$7:$R$38,17))</f>
        <v>D</v>
      </c>
      <c r="C61" s="103">
        <f>IF($D61="","",VLOOKUP($D61,'[1]m glavni turnir žrebna lista'!$A$7:$R$38,2))</f>
        <v>6572</v>
      </c>
      <c r="D61" s="74">
        <v>21</v>
      </c>
      <c r="E61" s="104" t="str">
        <f>UPPER(IF($D61="","",VLOOKUP($D61,'[1]m glavni turnir žrebna lista'!$A$7:$R$38,3)))</f>
        <v>ZUPANČIČ</v>
      </c>
      <c r="F61" s="104" t="str">
        <f>PROPER(IF($D61="","",VLOOKUP($D61,'[1]m glavni turnir žrebna lista'!$A$7:$R$38,4)))</f>
        <v>Filip Jakob</v>
      </c>
      <c r="G61" s="104"/>
      <c r="H61" s="104" t="str">
        <f>IF($D61="","",VLOOKUP($D61,'[1]m glavni turnir žrebna lista'!$A$7:$R$38,5))</f>
        <v>ZKLUB</v>
      </c>
      <c r="I61" s="105">
        <f>IF($D61="","",VLOOKUP($D61,'[1]m glavni turnir žrebna lista'!$A$7:$R$38,14))</f>
        <v>10</v>
      </c>
      <c r="J61" s="259" t="s">
        <v>99</v>
      </c>
      <c r="K61" s="119"/>
      <c r="L61" s="76"/>
      <c r="M61" s="345"/>
      <c r="N61" s="78"/>
      <c r="O61" s="364"/>
      <c r="P61" s="419" t="s">
        <v>30</v>
      </c>
      <c r="Q61" s="421"/>
      <c r="R61" s="82"/>
      <c r="S61" s="362"/>
      <c r="U61" s="314">
        <f>IF($D61="","",VLOOKUP($D61,'[1]m glavni turnir žrebna lista'!$A$7:$R$38,2))</f>
        <v>6572</v>
      </c>
      <c r="V61" s="133">
        <v>17</v>
      </c>
      <c r="W61" s="133" t="str">
        <f>UPPER(IF($D$39="","",VLOOKUP($D$39,'[1]m glavni turnir žrebna lista'!$A$7:$R$38,3)))</f>
        <v>VOVK</v>
      </c>
      <c r="X61" s="133" t="str">
        <f>PROPER(IF($D$39="","",VLOOKUP($D$39,'[1]m glavni turnir žrebna lista'!$A$7:$R$38,4)))</f>
        <v>Primož</v>
      </c>
      <c r="Y61" s="131">
        <f>IF(W61="","",IF($U$40&lt;&gt;$U$39,"",IF($J$41="bb",1,IF($J$41="","0",$I$41))))</f>
        <v>10</v>
      </c>
      <c r="Z61" s="131">
        <f>IF($W$45="","",IF($U$42&lt;&gt;$U$39,"",IF($L$43="bb",1,IF($L$43="","0",$K$44))))</f>
        <v>10</v>
      </c>
      <c r="AA61" s="131">
        <f>IF($W$45="","",IF($U$46&lt;&gt;$U$39,"",IF($N$47="bb",1,IF($N$47="","0",$M$50))))</f>
        <v>30</v>
      </c>
      <c r="AB61" s="131">
        <f>IF($W$45="","",IF($U$54&lt;&gt;$U$39,"",IF($P$55="bb",1,IF($P$55="","0",$O$62))))</f>
      </c>
      <c r="AC61" s="131">
        <f>IF($W$45="","",IF($U$38&lt;&gt;$U$39,"",IF($P$39="bb",1,IF($P$39="","0",$Q$22))))</f>
      </c>
      <c r="AD61" s="131"/>
      <c r="AE61" s="358">
        <f t="shared" si="3"/>
        <v>50</v>
      </c>
      <c r="AF61" s="135">
        <f>IF($C39="","",'m glavni 32'!$C$39)</f>
        <v>6591</v>
      </c>
      <c r="AG61" s="133" t="str">
        <f>UPPER(IF($D$39="","",VLOOKUP($D$39,'[1]m glavni turnir žrebna lista'!$A$7:$R$38,3)))</f>
        <v>VOVK</v>
      </c>
      <c r="AH61" s="133" t="str">
        <f>PROPER(IF($D$39="","",VLOOKUP($D$39,'[1]m glavni turnir žrebna lista'!$A$7:$R$38,4)))</f>
        <v>Primož</v>
      </c>
      <c r="AI61" s="133" t="str">
        <f>UPPER(IF($D$39="","",VLOOKUP($D$39,'[1]m glavni turnir žrebna lista'!$A$7:$R$38,5)))</f>
        <v>STRAŽ</v>
      </c>
      <c r="AJ61" s="358">
        <f t="shared" si="4"/>
        <v>170</v>
      </c>
    </row>
    <row r="62" spans="1:36" s="83" customFormat="1" ht="9" customHeight="1">
      <c r="A62" s="89"/>
      <c r="B62" s="90"/>
      <c r="C62" s="90"/>
      <c r="D62" s="109"/>
      <c r="E62" s="76"/>
      <c r="F62" s="76"/>
      <c r="G62" s="120"/>
      <c r="H62" s="121"/>
      <c r="I62" s="110"/>
      <c r="J62" s="76"/>
      <c r="K62" s="119"/>
      <c r="L62" s="93" t="s">
        <v>23</v>
      </c>
      <c r="M62" s="111" t="s">
        <v>156</v>
      </c>
      <c r="N62" s="95" t="str">
        <f>UPPER(IF(OR(M62="a",M62="as"),L58,IF(OR(M62="b",M62="bs"),L66,)))</f>
        <v>GERMIČ</v>
      </c>
      <c r="O62" s="360">
        <f>IF(OR(M62="a",M62="as"),M58,IF(OR(M62="b",M62="bs"),M66,))</f>
        <v>0</v>
      </c>
      <c r="P62" s="419"/>
      <c r="Q62" s="421"/>
      <c r="R62" s="365">
        <f>IF($R$63&gt;=310,1,IF($R$63&gt;=220,2,IF($R$63&gt;=10,3,"")))</f>
        <v>3</v>
      </c>
      <c r="S62" s="362"/>
      <c r="U62" s="314">
        <f>IF(OR(M62="a",M62="as"),U58,IF(OR(M62="b",M62="bs"),U66,""))</f>
      </c>
      <c r="V62" s="133">
        <v>18</v>
      </c>
      <c r="W62" s="133" t="str">
        <f>UPPER(IF($D$41="","",VLOOKUP($D$41,'[1]m glavni turnir žrebna lista'!$A$7:$R$38,3)))</f>
        <v>DERNIČ</v>
      </c>
      <c r="X62" s="133" t="str">
        <f>PROPER(IF($D$41="","",VLOOKUP($D$41,'[1]m glavni turnir žrebna lista'!$A$7:$R$38,4)))</f>
        <v>Žiga</v>
      </c>
      <c r="Y62" s="131">
        <f>IF(W62="","",IF($U$40&lt;&gt;$U$41,"",IF($J$41="bb",1,IF($J$41="","0",$I$39))))</f>
      </c>
      <c r="Z62" s="131">
        <f>IF($W$45="","",IF($U$42&lt;&gt;$U$41,"",IF($L$43="bb",1,IF($L$43="","0",$K$44))))</f>
      </c>
      <c r="AA62" s="131">
        <f>IF($W$45="","",IF($U$46&lt;&gt;$U$41,"",IF($N$47="bb",1,IF($N$47="","0",$M$50))))</f>
      </c>
      <c r="AB62" s="131">
        <f>IF($W$45="","",IF($U$54&lt;&gt;$U$41,"",IF($P$55="bb",1,IF($P$55="","0",$O$62))))</f>
      </c>
      <c r="AC62" s="131">
        <f>IF($W$45="","",IF($U$38&lt;&gt;$U$41,"",IF($P$39="bb",1,IF($P$39="","0",$Q$22))))</f>
      </c>
      <c r="AD62" s="131"/>
      <c r="AE62" s="358">
        <f t="shared" si="3"/>
        <v>0</v>
      </c>
      <c r="AF62" s="135">
        <f>IF($C41="","",'m glavni 32'!$C$41)</f>
        <v>6575</v>
      </c>
      <c r="AG62" s="133" t="str">
        <f>UPPER(IF($D$41="","",VLOOKUP($D$41,'[1]m glavni turnir žrebna lista'!$A$7:$R$38,3)))</f>
        <v>DERNIČ</v>
      </c>
      <c r="AH62" s="133" t="str">
        <f>PROPER(IF($D$41="","",VLOOKUP($D$41,'[1]m glavni turnir žrebna lista'!$A$7:$R$38,4)))</f>
        <v>Žiga</v>
      </c>
      <c r="AI62" s="133" t="str">
        <f>UPPER(IF($D$41="","",VLOOKUP($D$41,'[1]m glavni turnir žrebna lista'!$A$7:$R$38,5)))</f>
        <v>PORTO</v>
      </c>
      <c r="AJ62" s="358">
        <f t="shared" si="4"/>
        <v>15</v>
      </c>
    </row>
    <row r="63" spans="1:36" s="83" customFormat="1" ht="9" customHeight="1">
      <c r="A63" s="89">
        <v>29</v>
      </c>
      <c r="B63" s="103" t="str">
        <f>IF($D63="","",VLOOKUP($D63,'[1]m glavni turnir žrebna lista'!$A$7:$R$38,17))</f>
        <v>D</v>
      </c>
      <c r="C63" s="103">
        <f>IF($D63="","",VLOOKUP($D63,'[1]m glavni turnir žrebna lista'!$A$7:$R$38,2))</f>
        <v>5928</v>
      </c>
      <c r="D63" s="74">
        <v>19</v>
      </c>
      <c r="E63" s="104" t="str">
        <f>UPPER(IF($D63="","",VLOOKUP($D63,'[1]m glavni turnir žrebna lista'!$A$7:$R$38,3)))</f>
        <v>BREC</v>
      </c>
      <c r="F63" s="104" t="str">
        <f>PROPER(IF($D63="","",VLOOKUP($D63,'[1]m glavni turnir žrebna lista'!$A$7:$R$38,4)))</f>
        <v>Jakob</v>
      </c>
      <c r="G63" s="104"/>
      <c r="H63" s="104" t="str">
        <f>IF($D63="","",VLOOKUP($D63,'[1]m glavni turnir žrebna lista'!$A$7:$R$38,5))</f>
        <v>TENAN</v>
      </c>
      <c r="I63" s="75">
        <f>IF($D63="","",VLOOKUP($D63,'[1]m glavni turnir žrebna lista'!$A$7:$R$38,14))</f>
        <v>20</v>
      </c>
      <c r="J63" s="76"/>
      <c r="K63" s="119"/>
      <c r="L63" s="76"/>
      <c r="M63" s="345"/>
      <c r="N63" s="259" t="s">
        <v>157</v>
      </c>
      <c r="O63" s="343"/>
      <c r="P63" s="366" t="s">
        <v>31</v>
      </c>
      <c r="Q63" s="367">
        <f>MIN(J4,R62)</f>
        <v>2</v>
      </c>
      <c r="R63" s="365">
        <f>SUM(LARGE(H72:H79,{1}),LARGE(H72:H79,{2}),LARGE(H72:H79,{3}),LARGE(H72:H79,{4}))</f>
        <v>180</v>
      </c>
      <c r="S63" s="362"/>
      <c r="U63" s="314">
        <f>IF($D63="","",VLOOKUP($D63,'[1]m glavni turnir žrebna lista'!$A$7:$R$38,2))</f>
        <v>5928</v>
      </c>
      <c r="V63" s="133">
        <v>19</v>
      </c>
      <c r="W63" s="133" t="str">
        <f>UPPER(IF($D$43="","",VLOOKUP($D$43,'[1]m glavni turnir žrebna lista'!$A$7:$R$38,3)))</f>
        <v>FRANK</v>
      </c>
      <c r="X63" s="133" t="str">
        <f>PROPER(IF($D$43="","",VLOOKUP($D$43,'[1]m glavni turnir žrebna lista'!$A$7:$R$38,4)))</f>
        <v>Jure</v>
      </c>
      <c r="Y63" s="131">
        <f>IF(W63="","",IF($U$44&lt;&gt;$U$43,"",IF($J$45="bb",1,IF($J$45="","0",$I$45))))</f>
        <v>10</v>
      </c>
      <c r="Z63" s="131">
        <f>IF($W$45="","",IF($U$42&lt;&gt;$U$43,"",IF($L$43="bb",1,IF($L$43="","0",$K$40))))</f>
      </c>
      <c r="AA63" s="131">
        <f>IF($W$45="","",IF($U$46&lt;&gt;$U$43,"",IF($N$47="bb",1,IF($N$47="","0",$M$50))))</f>
      </c>
      <c r="AB63" s="131">
        <f>IF($W$45="","",IF($U$54&lt;&gt;$U$43,"",IF($P$55="bb",1,IF($P$55="","0",$O$62))))</f>
      </c>
      <c r="AC63" s="131">
        <f>IF($W$45="","",IF($U$38&lt;&gt;$U$43,"",IF($P$39="bb",1,IF($P$39="","0",$Q$22))))</f>
      </c>
      <c r="AD63" s="131"/>
      <c r="AE63" s="358">
        <f t="shared" si="3"/>
        <v>10</v>
      </c>
      <c r="AF63" s="135">
        <f>IF($C43="","",'m glavni 32'!$C$43)</f>
        <v>6470</v>
      </c>
      <c r="AG63" s="133" t="str">
        <f>UPPER(IF($D$43="","",VLOOKUP($D$43,'[1]m glavni turnir žrebna lista'!$A$7:$R$38,3)))</f>
        <v>FRANK</v>
      </c>
      <c r="AH63" s="133" t="str">
        <f>PROPER(IF($D$43="","",VLOOKUP($D$43,'[1]m glavni turnir žrebna lista'!$A$7:$R$38,4)))</f>
        <v>Jure</v>
      </c>
      <c r="AI63" s="133" t="str">
        <f>UPPER(IF($D$43="","",VLOOKUP($D$43,'[1]m glavni turnir žrebna lista'!$A$7:$R$38,5)))</f>
        <v>ŽTKMB</v>
      </c>
      <c r="AJ63" s="358">
        <f t="shared" si="4"/>
        <v>40</v>
      </c>
    </row>
    <row r="64" spans="1:36" s="83" customFormat="1" ht="9" customHeight="1">
      <c r="A64" s="89"/>
      <c r="B64" s="90"/>
      <c r="C64" s="90"/>
      <c r="D64" s="109"/>
      <c r="E64" s="91"/>
      <c r="F64" s="91"/>
      <c r="G64" s="92"/>
      <c r="H64" s="93" t="s">
        <v>23</v>
      </c>
      <c r="I64" s="94" t="s">
        <v>26</v>
      </c>
      <c r="J64" s="95" t="str">
        <f>UPPER(IF(OR(I64="a",I64="as"),E63,IF(OR(I64="b",I64="bs"),E65,)))</f>
        <v>JANEŽIČ</v>
      </c>
      <c r="K64" s="96">
        <f>IF(OR(I64="a",I64="as"),I63,IF(OR(I64="b",I64="bs"),I65,))</f>
        <v>20</v>
      </c>
      <c r="L64" s="76"/>
      <c r="M64" s="345"/>
      <c r="N64" s="113"/>
      <c r="O64" s="343"/>
      <c r="P64" s="368" t="s">
        <v>106</v>
      </c>
      <c r="Q64" s="148">
        <f>IF($C$2="B turnir",16,IF($Q$63=1,480,IF($Q$63=2,240,IF($Q$63=3,160,""))))</f>
        <v>240</v>
      </c>
      <c r="R64" s="82"/>
      <c r="S64" s="362"/>
      <c r="U64" s="314">
        <f>IF(OR(I64="a",I64="as"),C63,IF(OR(I64="b",I64="bs"),C65,""))</f>
        <v>5930</v>
      </c>
      <c r="V64" s="133">
        <v>20</v>
      </c>
      <c r="W64" s="133" t="str">
        <f>UPPER(IF($D$45="","",VLOOKUP($D$45,'[1]m glavni turnir žrebna lista'!$A$7:$R$38,3)))</f>
        <v>ŽMAVC</v>
      </c>
      <c r="X64" s="133" t="str">
        <f>PROPER(IF($D$45="","",VLOOKUP($D$45,'[1]m glavni turnir žrebna lista'!$A$7:$R$38,4)))</f>
        <v>Žan</v>
      </c>
      <c r="Y64" s="131">
        <f>IF(W64="","",IF($U$44&lt;&gt;$U$45,"",IF($J$45="bb",1,IF($J$45="","0",$I$43))))</f>
      </c>
      <c r="Z64" s="131">
        <f>IF($W$45="","",IF($U$42&lt;&gt;$U$45,"",IF($L$43="bb",1,IF($L$43="","0",$K$40))))</f>
      </c>
      <c r="AA64" s="131">
        <f>IF($W$45="","",IF($U$46&lt;&gt;$U$45,"",IF($N$47="bb",1,IF($N$47="","0",$M$50))))</f>
      </c>
      <c r="AB64" s="131">
        <f>IF($W$45="","",IF($U$54&lt;&gt;$U$45,"",IF($P$55="bb",1,IF($P$55="","0",$O$62))))</f>
      </c>
      <c r="AC64" s="131">
        <f>IF($W$45="","",IF($U$38&lt;&gt;$U$45,"",IF($P$39="bb",1,IF($P$39="","0",$Q$22))))</f>
      </c>
      <c r="AD64" s="131"/>
      <c r="AE64" s="358">
        <f t="shared" si="3"/>
        <v>0</v>
      </c>
      <c r="AF64" s="135">
        <f>IF($C45="","",'m glavni 32'!$C$45)</f>
        <v>6509</v>
      </c>
      <c r="AG64" s="133" t="str">
        <f>UPPER(IF($D$45="","",VLOOKUP($D$45,'[1]m glavni turnir žrebna lista'!$A$7:$R$38,3)))</f>
        <v>ŽMAVC</v>
      </c>
      <c r="AH64" s="133" t="str">
        <f>PROPER(IF($D$45="","",VLOOKUP($D$45,'[1]m glavni turnir žrebna lista'!$A$7:$R$38,4)))</f>
        <v>Žan</v>
      </c>
      <c r="AI64" s="133" t="str">
        <f>UPPER(IF($D$45="","",VLOOKUP($D$45,'[1]m glavni turnir žrebna lista'!$A$7:$R$38,5)))</f>
        <v>TR-KR</v>
      </c>
      <c r="AJ64" s="358">
        <f t="shared" si="4"/>
        <v>15</v>
      </c>
    </row>
    <row r="65" spans="1:36" s="83" customFormat="1" ht="9" customHeight="1">
      <c r="A65" s="89">
        <v>30</v>
      </c>
      <c r="B65" s="103" t="str">
        <f>IF($D65="","",VLOOKUP($D65,'[1]m glavni turnir žrebna lista'!$A$7:$R$38,17))</f>
        <v>D</v>
      </c>
      <c r="C65" s="103">
        <f>IF($D65="","",VLOOKUP($D65,'[1]m glavni turnir žrebna lista'!$A$7:$R$38,2))</f>
        <v>5930</v>
      </c>
      <c r="D65" s="74">
        <v>11</v>
      </c>
      <c r="E65" s="104" t="str">
        <f>UPPER(IF($D65="","",VLOOKUP($D65,'[1]m glavni turnir žrebna lista'!$A$7:$R$38,3)))</f>
        <v>JANEŽIČ</v>
      </c>
      <c r="F65" s="104" t="str">
        <f>PROPER(IF($D65="","",VLOOKUP($D65,'[1]m glavni turnir žrebna lista'!$A$7:$R$38,4)))</f>
        <v>Dorian Tomaž</v>
      </c>
      <c r="G65" s="104"/>
      <c r="H65" s="104" t="str">
        <f>IF($D65="","",VLOOKUP($D65,'[1]m glavni turnir žrebna lista'!$A$7:$R$38,5))</f>
        <v>BENČ</v>
      </c>
      <c r="I65" s="105">
        <f>IF($D65="","",VLOOKUP($D65,'[1]m glavni turnir žrebna lista'!$A$7:$R$38,14))</f>
        <v>20</v>
      </c>
      <c r="J65" s="259" t="s">
        <v>107</v>
      </c>
      <c r="K65" s="107"/>
      <c r="L65" s="76"/>
      <c r="M65" s="345"/>
      <c r="N65" s="113"/>
      <c r="O65" s="343"/>
      <c r="P65" s="369" t="s">
        <v>108</v>
      </c>
      <c r="Q65" s="149">
        <f>IF($C$2="B turnir",12,IF($Q$63=1,360,IF($Q$63=2,180,IF($Q$63=3,120,""))))</f>
        <v>180</v>
      </c>
      <c r="R65" s="82"/>
      <c r="S65" s="362"/>
      <c r="U65" s="314">
        <f>IF($D65="","",VLOOKUP($D65,'[1]m glavni turnir žrebna lista'!$A$7:$R$38,2))</f>
        <v>5930</v>
      </c>
      <c r="V65" s="133">
        <v>21</v>
      </c>
      <c r="W65" s="133" t="str">
        <f>UPPER(IF($D$47="","",VLOOKUP($D$47,'[1]m glavni turnir žrebna lista'!$A$7:$R$38,3)))</f>
        <v>JANŠA</v>
      </c>
      <c r="X65" s="133" t="str">
        <f>PROPER(IF($D$47="","",VLOOKUP($D$47,'[1]m glavni turnir žrebna lista'!$A$7:$R$38,4)))</f>
        <v>Vid</v>
      </c>
      <c r="Y65" s="131">
        <f>IF(W65="","",IF($U$48&lt;&gt;$U$47,"",IF($J$49="bb",1,IF($J$49="","0",$I$49))))</f>
      </c>
      <c r="Z65" s="131">
        <f>IF($W$45="","",IF($U$50&lt;&gt;$U$47,"",IF($L$51="bb",1,IF($L$51="","0",$K$52))))</f>
      </c>
      <c r="AA65" s="131">
        <f>IF($W$45="","",IF($U$46&lt;&gt;$U$47,"",IF($N$47="bb",1,IF($N$47="","0",$M$42))))</f>
      </c>
      <c r="AB65" s="131">
        <f>IF($W$45="","",IF($U$54&lt;&gt;$U$47,"",IF($P$55="bb",1,IF($P$55="","0",$O$62))))</f>
      </c>
      <c r="AC65" s="131">
        <f>IF($W$45="","",IF($U$38&lt;&gt;$U$47,"",IF($P$39="bb",1,IF($P$39="","0",$Q$22))))</f>
      </c>
      <c r="AD65" s="131"/>
      <c r="AE65" s="358">
        <f t="shared" si="3"/>
        <v>0</v>
      </c>
      <c r="AF65" s="135">
        <f>IF($C47="","",'m glavni 32'!$C$47)</f>
        <v>6392</v>
      </c>
      <c r="AG65" s="133" t="str">
        <f>UPPER(IF($D$47="","",VLOOKUP($D$47,'[1]m glavni turnir žrebna lista'!$A$7:$R$38,3)))</f>
        <v>JANŠA</v>
      </c>
      <c r="AH65" s="133" t="str">
        <f>PROPER(IF($D$47="","",VLOOKUP($D$47,'[1]m glavni turnir žrebna lista'!$A$7:$R$38,4)))</f>
        <v>Vid</v>
      </c>
      <c r="AI65" s="133" t="str">
        <f>UPPER(IF($D$47="","",VLOOKUP($D$47,'[1]m glavni turnir žrebna lista'!$A$7:$R$38,5)))</f>
        <v>ŽTKMB</v>
      </c>
      <c r="AJ65" s="358">
        <f t="shared" si="4"/>
        <v>15</v>
      </c>
    </row>
    <row r="66" spans="1:36" s="83" customFormat="1" ht="9" customHeight="1">
      <c r="A66" s="89"/>
      <c r="B66" s="90"/>
      <c r="C66" s="90"/>
      <c r="D66" s="109"/>
      <c r="E66" s="91"/>
      <c r="F66" s="91"/>
      <c r="G66" s="92"/>
      <c r="H66" s="76"/>
      <c r="I66" s="110"/>
      <c r="J66" s="93" t="s">
        <v>23</v>
      </c>
      <c r="K66" s="111" t="s">
        <v>27</v>
      </c>
      <c r="L66" s="95" t="s">
        <v>142</v>
      </c>
      <c r="M66" s="347">
        <f>IF(OR(K66="a",K66="as"),K64,IF(OR(K66="b",K66="bs"),K68,))</f>
        <v>20</v>
      </c>
      <c r="N66" s="113"/>
      <c r="O66" s="343"/>
      <c r="P66" s="369" t="s">
        <v>109</v>
      </c>
      <c r="Q66" s="149">
        <f>IF($C$2="B turnir",8,IF($Q$63=1,240,IF($Q$63=2,120,IF($Q$63=3,80,""))))</f>
        <v>120</v>
      </c>
      <c r="R66" s="82"/>
      <c r="S66" s="362"/>
      <c r="U66" s="314">
        <f>IF(OR(K66="a",K66="as"),U64,IF(OR(K66="b",K66="bs"),U68,""))</f>
        <v>5930</v>
      </c>
      <c r="V66" s="133">
        <v>22</v>
      </c>
      <c r="W66" s="133" t="str">
        <f>UPPER(IF($D$49="","",VLOOKUP($D$49,'[1]m glavni turnir žrebna lista'!$A$7:$R$38,3)))</f>
        <v>NIKOLAŠ</v>
      </c>
      <c r="X66" s="133" t="str">
        <f>PROPER(IF($D$49="","",VLOOKUP($D$49,'[1]m glavni turnir žrebna lista'!$A$7:$R$38,4)))</f>
        <v>Klemen</v>
      </c>
      <c r="Y66" s="131">
        <f>IF(W66="","",IF($U$48&lt;&gt;$U$49,"",IF($J$49="bb",1,IF($J$49="","0",$I$47))))</f>
        <v>10</v>
      </c>
      <c r="Z66" s="131">
        <f>IF($W$45="","",IF($U$50&lt;&gt;$U$49,"",IF($L$51="bb",1,IF($L$51="","0",$K$52))))</f>
      </c>
      <c r="AA66" s="131">
        <f>IF($W$45="","",IF($U$46&lt;&gt;$U$49,"",IF($N$47="bb",1,IF($N$47="","0",$M$42))))</f>
      </c>
      <c r="AB66" s="131">
        <f>IF($W$45="","",IF($U$54&lt;&gt;$U$49,"",IF($P$55="bb",1,IF($P$55="","0",$O$62))))</f>
      </c>
      <c r="AC66" s="131">
        <f>IF($W$45="","",IF($U$38&lt;&gt;$U$49,"",IF($P$39="bb",1,IF($P$39="","0",$Q$22))))</f>
      </c>
      <c r="AD66" s="131"/>
      <c r="AE66" s="358">
        <f t="shared" si="3"/>
        <v>10</v>
      </c>
      <c r="AF66" s="135">
        <f>IF($C49="","",'m glavni 32'!$C$49)</f>
        <v>6904</v>
      </c>
      <c r="AG66" s="133" t="str">
        <f>UPPER(IF($D$49="","",VLOOKUP($D$49,'[1]m glavni turnir žrebna lista'!$A$7:$R$38,3)))</f>
        <v>NIKOLAŠ</v>
      </c>
      <c r="AH66" s="133" t="str">
        <f>PROPER(IF($D$49="","",VLOOKUP($D$49,'[1]m glavni turnir žrebna lista'!$A$7:$R$38,4)))</f>
        <v>Klemen</v>
      </c>
      <c r="AI66" s="133" t="str">
        <f>UPPER(IF($D$49="","",VLOOKUP($D49,'[1]m glavni turnir žrebna lista'!$A$7:$R$38,5)))</f>
        <v>TR-KR</v>
      </c>
      <c r="AJ66" s="358">
        <f t="shared" si="4"/>
        <v>40</v>
      </c>
    </row>
    <row r="67" spans="1:36" s="83" customFormat="1" ht="9" customHeight="1">
      <c r="A67" s="89">
        <v>31</v>
      </c>
      <c r="B67" s="103" t="str">
        <f>IF($D67="","",VLOOKUP($D67,'[1]m glavni turnir žrebna lista'!$A$7:$R$38,17))</f>
        <v>D</v>
      </c>
      <c r="C67" s="103">
        <f>IF($D67="","",VLOOKUP($D67,'[1]m glavni turnir žrebna lista'!$A$7:$R$38,2))</f>
        <v>6680</v>
      </c>
      <c r="D67" s="74">
        <v>18</v>
      </c>
      <c r="E67" s="104" t="str">
        <f>UPPER(IF($D67="","",VLOOKUP($D67,'[1]m glavni turnir žrebna lista'!$A$7:$R$38,3)))</f>
        <v>DACAR</v>
      </c>
      <c r="F67" s="104" t="str">
        <f>PROPER(IF($D67="","",VLOOKUP($D67,'[1]m glavni turnir žrebna lista'!$A$7:$R$38,4)))</f>
        <v>Urban</v>
      </c>
      <c r="G67" s="104"/>
      <c r="H67" s="104" t="str">
        <f>IF($D67="","",VLOOKUP($D67,'[1]m glavni turnir žrebna lista'!$A$7:$R$38,5))</f>
        <v>TOPTE</v>
      </c>
      <c r="I67" s="75">
        <f>IF($D67="","",VLOOKUP($D67,'[1]m glavni turnir žrebna lista'!$A$7:$R$38,14))</f>
        <v>20</v>
      </c>
      <c r="J67" s="76"/>
      <c r="K67" s="114"/>
      <c r="L67" s="259" t="s">
        <v>99</v>
      </c>
      <c r="M67" s="343"/>
      <c r="N67" s="113"/>
      <c r="O67" s="343"/>
      <c r="P67" s="369" t="s">
        <v>110</v>
      </c>
      <c r="Q67" s="149">
        <f>IF($C$2="B turnir",4,IF($Q$63=1,120,IF($Q$63=2,60,IF($Q$63=3,40,""))))</f>
        <v>60</v>
      </c>
      <c r="R67" s="82"/>
      <c r="S67" s="362"/>
      <c r="U67" s="314">
        <f>IF($D67="","",VLOOKUP($D67,'[1]m glavni turnir žrebna lista'!$A$7:$R$38,2))</f>
        <v>6680</v>
      </c>
      <c r="V67" s="133">
        <v>23</v>
      </c>
      <c r="W67" s="133" t="str">
        <f>UPPER(IF($D$51="","",VLOOKUP($D$51,'[1]m glavni turnir žrebna lista'!$A$7:$R$38,3)))</f>
        <v>ČUK</v>
      </c>
      <c r="X67" s="133" t="str">
        <f>PROPER(IF($D$51="","",VLOOKUP($D$51,'[1]m glavni turnir žrebna lista'!$A$7:$R$38,4)))</f>
        <v>Mark</v>
      </c>
      <c r="Y67" s="131">
        <f>IF(W67="","",IF($U$52&lt;&gt;$U$51,"",IF($J$53="bb",1,IF($J$53="","0",$I$53))))</f>
      </c>
      <c r="Z67" s="131">
        <f>IF($W$45="","",IF($U$50&lt;&gt;$U$51,"",IF($L$51="bb",1,IF($L$51="","0",$K$48))))</f>
      </c>
      <c r="AA67" s="131">
        <f>IF($W$45="","",IF($U$46&lt;&gt;$U$51,"",IF($N$47="bb",1,IF($N$47="","0",$M$42))))</f>
      </c>
      <c r="AB67" s="131">
        <f>IF($W$45="","",IF($U$54&lt;&gt;$U$51,"",IF($P$55="bb",1,IF($P$55="","0",$O$62))))</f>
      </c>
      <c r="AC67" s="131">
        <f>IF($W$45="","",IF($U$38&lt;&gt;$U$51,"",IF($P$39="bb",1,IF($P$39="","0",$Q$22))))</f>
      </c>
      <c r="AD67" s="131"/>
      <c r="AE67" s="358">
        <f t="shared" si="3"/>
        <v>0</v>
      </c>
      <c r="AF67" s="135">
        <f>IF($C51="","",'m glavni 32'!$C$51)</f>
        <v>5852</v>
      </c>
      <c r="AG67" s="133" t="str">
        <f>UPPER(IF($D$51="","",VLOOKUP($D$51,'[1]m glavni turnir žrebna lista'!$A$7:$R$38,3)))</f>
        <v>ČUK</v>
      </c>
      <c r="AH67" s="133" t="str">
        <f>PROPER(IF($D$51="","",VLOOKUP($D$51,'[1]m glavni turnir žrebna lista'!$A$7:$R$38,4)))</f>
        <v>Mark</v>
      </c>
      <c r="AI67" s="133" t="str">
        <f>UPPER(IF($D$51="","",VLOOKUP($D$51,'[1]m glavni turnir žrebna lista'!$A$7:$R$38,5)))</f>
        <v>ASLIT</v>
      </c>
      <c r="AJ67" s="358">
        <f t="shared" si="4"/>
        <v>15</v>
      </c>
    </row>
    <row r="68" spans="1:36" s="83" customFormat="1" ht="9" customHeight="1">
      <c r="A68" s="89"/>
      <c r="B68" s="90"/>
      <c r="C68" s="90"/>
      <c r="D68" s="90"/>
      <c r="E68" s="91"/>
      <c r="F68" s="91"/>
      <c r="G68" s="92"/>
      <c r="H68" s="93" t="s">
        <v>23</v>
      </c>
      <c r="I68" s="94" t="s">
        <v>75</v>
      </c>
      <c r="J68" s="95" t="str">
        <f>UPPER(IF(OR(I68="a",I68="as"),E67,IF(OR(I68="b",I68="bs"),E69,)))</f>
        <v>VOLK</v>
      </c>
      <c r="K68" s="117">
        <f>IF(OR(I68="a",I68="as"),I67,IF(OR(I68="b",I68="bs"),I69,))</f>
        <v>40</v>
      </c>
      <c r="L68" s="76"/>
      <c r="M68" s="343"/>
      <c r="N68" s="113"/>
      <c r="O68" s="343"/>
      <c r="P68" s="369" t="s">
        <v>111</v>
      </c>
      <c r="Q68" s="149">
        <f>IF($C$2="B turnir",2,IF($Q$63=1,60,IF($Q$63=2,30,IF($Q$63=3,20,""))))</f>
        <v>30</v>
      </c>
      <c r="R68" s="82"/>
      <c r="S68" s="362"/>
      <c r="U68" s="314">
        <f>IF(OR(I68="a",I68="as"),C67,IF(OR(I68="b",I68="bs"),C69,""))</f>
        <v>6279</v>
      </c>
      <c r="V68" s="133">
        <v>24</v>
      </c>
      <c r="W68" s="133" t="str">
        <f>UPPER(IF($D$53="","",VLOOKUP($D$53,'[1]m glavni turnir žrebna lista'!$A$7:$R$38,3)))</f>
        <v>OGOREVC</v>
      </c>
      <c r="X68" s="133" t="str">
        <f>PROPER(IF($D$53="","",VLOOKUP($D$53,'[1]m glavni turnir žrebna lista'!$A$7:$R$38,4)))</f>
        <v>Nace</v>
      </c>
      <c r="Y68" s="131">
        <f>IF(W68="","",IF($U$52&lt;&gt;$U$53,"",IF($J$53="bb",1,IF($J$53="","0",$I$51))))</f>
        <v>10</v>
      </c>
      <c r="Z68" s="131">
        <f>IF($W$45="","",IF($U$50&lt;&gt;$U$53,"",IF($L$51="bb",1,IF($L$51="","0",$K$48))))</f>
        <v>10</v>
      </c>
      <c r="AA68" s="131">
        <f>IF($W$45="","",IF($U$46&lt;&gt;$U$53,"",IF($N$47="bb",1,IF($N$47="","0",$M$42))))</f>
      </c>
      <c r="AB68" s="131">
        <f>IF($W$45="","",IF($U$54&lt;&gt;$U$53,"",IF($P$55="bb",1,IF($P$55="","0",$O$62))))</f>
      </c>
      <c r="AC68" s="131">
        <f>IF($W$45="","",IF($U$38&lt;&gt;$U$53,"",IF($P$39="bb",1,IF($P$39="","0",$Q$22))))</f>
      </c>
      <c r="AD68" s="131"/>
      <c r="AE68" s="358">
        <f t="shared" si="3"/>
        <v>20</v>
      </c>
      <c r="AF68" s="135">
        <f>IF($C53="","",'m glavni 32'!$C$53)</f>
        <v>6231</v>
      </c>
      <c r="AG68" s="133" t="str">
        <f>UPPER(IF($D$53="","",VLOOKUP($D$53,'[1]m glavni turnir žrebna lista'!$A$7:$R$38,3)))</f>
        <v>OGOREVC</v>
      </c>
      <c r="AH68" s="133" t="str">
        <f>PROPER(IF($D$53="","",VLOOKUP($D$53,'[1]m glavni turnir žrebna lista'!$A$7:$R$38,4)))</f>
        <v>Nace</v>
      </c>
      <c r="AI68" s="133" t="str">
        <f>UPPER(IF($D$53="","",VLOOKUP($D$53,'[1]m glavni turnir žrebna lista'!$A$7:$R$38,5)))</f>
        <v>BENČ</v>
      </c>
      <c r="AJ68" s="358">
        <f t="shared" si="4"/>
        <v>80</v>
      </c>
    </row>
    <row r="69" spans="1:36" s="83" customFormat="1" ht="9" customHeight="1">
      <c r="A69" s="72">
        <v>32</v>
      </c>
      <c r="B69" s="73" t="str">
        <f>IF($D69="","",VLOOKUP($D69,'[1]m glavni turnir žrebna lista'!$A$7:$R$38,17))</f>
        <v>D</v>
      </c>
      <c r="C69" s="73">
        <f>IF($D69="","",VLOOKUP($D69,'[1]m glavni turnir žrebna lista'!$A$7:$R$38,2))</f>
        <v>6279</v>
      </c>
      <c r="D69" s="74">
        <v>2</v>
      </c>
      <c r="E69" s="73" t="str">
        <f>UPPER(IF($D69="","",VLOOKUP($D69,'[1]m glavni turnir žrebna lista'!$A$7:$R$38,3)))</f>
        <v>VOLK</v>
      </c>
      <c r="F69" s="73" t="str">
        <f>PROPER(IF($D69="","",VLOOKUP($D69,'[1]m glavni turnir žrebna lista'!$A$7:$R$38,4)))</f>
        <v>Luka</v>
      </c>
      <c r="G69" s="73"/>
      <c r="H69" s="73" t="str">
        <f>IF($D69="","",VLOOKUP($D69,'[1]m glavni turnir žrebna lista'!$A$7:$R$38,5))</f>
        <v>TR-KR</v>
      </c>
      <c r="I69" s="105">
        <f>IF($D69="","",VLOOKUP($D69,'[1]m glavni turnir žrebna lista'!$A$7:$R$38,14))</f>
        <v>40</v>
      </c>
      <c r="J69" s="259" t="s">
        <v>94</v>
      </c>
      <c r="K69" s="119"/>
      <c r="L69" s="76"/>
      <c r="M69" s="119"/>
      <c r="N69" s="78"/>
      <c r="O69" s="79"/>
      <c r="P69" s="369" t="s">
        <v>112</v>
      </c>
      <c r="Q69" s="149">
        <f>IF($C$2="B turnir",1,IF($Q$63=1,30,IF($Q$63=2,15,IF($Q$63=3,10,""))))</f>
        <v>15</v>
      </c>
      <c r="R69" s="82"/>
      <c r="U69" s="314">
        <f>IF($D69="","",VLOOKUP($D69,'[1]m glavni turnir žrebna lista'!$A$7:$R$38,2))</f>
        <v>6279</v>
      </c>
      <c r="V69" s="133">
        <v>25</v>
      </c>
      <c r="W69" s="133" t="str">
        <f>UPPER(IF($D$55="","",VLOOKUP($D$55,'[1]m glavni turnir žrebna lista'!$A$7:$R$38,3)))</f>
        <v>GERMIČ</v>
      </c>
      <c r="X69" s="133" t="str">
        <f>PROPER(IF($D$55="","",VLOOKUP($D$55,'[1]m glavni turnir žrebna lista'!$A$7:$R$38,4)))</f>
        <v>Aleš</v>
      </c>
      <c r="Y69" s="131">
        <f>IF(W69="","",IF($U$56&lt;&gt;$U$55,"",IF($J$57="bb",1,IF($J$57="","0",$I$57))))</f>
        <v>10</v>
      </c>
      <c r="Z69" s="131">
        <f>IF($W$45="","",IF($U$58&lt;&gt;$U$55,"",IF($L$59="bb",1,IF($L$59="","0",$K$60))))</f>
      </c>
      <c r="AA69" s="131">
        <f>IF($W$45="","",IF($U$62&lt;&gt;$U$55,"",IF($N$63="bb",1,IF($N$63="","0",$M$66))))</f>
      </c>
      <c r="AB69" s="131">
        <f>IF($W$45="","",IF($U$54&lt;&gt;$U$55,"",IF($P$55="bb",1,IF($P$55="","0",$O$46))))</f>
      </c>
      <c r="AC69" s="131">
        <f>IF($W$45="","",IF($U$38&lt;&gt;$U$55,"",IF($P$39="bb",1,IF($P$39="","0",$Q$22))))</f>
      </c>
      <c r="AD69" s="131"/>
      <c r="AE69" s="358">
        <f t="shared" si="3"/>
        <v>10</v>
      </c>
      <c r="AF69" s="135">
        <f>IF($C55="","",'m glavni 32'!$C$55)</f>
        <v>6061</v>
      </c>
      <c r="AG69" s="133" t="str">
        <f>UPPER(IF($D$55="","",VLOOKUP($D$55,'[1]m glavni turnir žrebna lista'!$A$7:$R$38,3)))</f>
        <v>GERMIČ</v>
      </c>
      <c r="AH69" s="133" t="str">
        <f>PROPER(IF($D$55="","",VLOOKUP($D$55,'[1]m glavni turnir žrebna lista'!$A$7:$R$38,4)))</f>
        <v>Aleš</v>
      </c>
      <c r="AI69" s="133" t="str">
        <f>UPPER(IF($D$55="","",VLOOKUP($D$55,'[1]m glavni turnir žrebna lista'!$A$7:$R$38,5)))</f>
        <v>ŽTKMB</v>
      </c>
      <c r="AJ69" s="358">
        <f t="shared" si="4"/>
        <v>190</v>
      </c>
    </row>
    <row r="70" spans="1:36" s="157" customFormat="1" ht="9" customHeight="1">
      <c r="A70" s="151"/>
      <c r="B70" s="151"/>
      <c r="C70" s="151"/>
      <c r="D70" s="151"/>
      <c r="E70" s="152"/>
      <c r="F70" s="152"/>
      <c r="G70" s="152"/>
      <c r="H70" s="152"/>
      <c r="I70" s="370"/>
      <c r="J70" s="154"/>
      <c r="K70" s="155"/>
      <c r="L70" s="154"/>
      <c r="M70" s="155"/>
      <c r="N70" s="154"/>
      <c r="O70" s="155"/>
      <c r="P70" s="154"/>
      <c r="Q70" s="155"/>
      <c r="R70" s="156"/>
      <c r="U70" s="314"/>
      <c r="V70" s="133">
        <v>26</v>
      </c>
      <c r="W70" s="133" t="str">
        <f>UPPER(IF($D$57="","",VLOOKUP($D$57,'[1]m glavni turnir žrebna lista'!$A$7:$R$38,3)))</f>
        <v>LAVRENČIČ</v>
      </c>
      <c r="X70" s="133" t="str">
        <f>PROPER(IF($D$57="","",VLOOKUP($D$57,'[1]m glavni turnir žrebna lista'!$A$7:$R$38,4)))</f>
        <v>Nejc</v>
      </c>
      <c r="Y70" s="131">
        <f>IF(W70="","",IF($U$56&lt;&gt;$U$57,"",IF($J$57="bb",1,IF($J$57="","0",$I$55))))</f>
      </c>
      <c r="Z70" s="131">
        <f>IF($W$45="","",IF($U$58&lt;&gt;$U$57,"",IF($L$59="bb",1,IF($L$59="","0",$K$60))))</f>
      </c>
      <c r="AA70" s="131">
        <f>IF($W$45="","",IF($U$62&lt;&gt;$U$57,"",IF($N$63="bb",1,IF($N$63="","0",$M$66))))</f>
      </c>
      <c r="AB70" s="131">
        <f>IF($W$45="","",IF($U$54&lt;&gt;$U$57,"",IF($P$55="bb",1,IF($P$55="","0",$O$46))))</f>
      </c>
      <c r="AC70" s="131">
        <f>IF($W$45="","",IF($U$38&lt;&gt;$U$57,"",IF($P$39="bb",1,IF($P$39="","0",$Q$22))))</f>
      </c>
      <c r="AD70" s="131"/>
      <c r="AE70" s="358">
        <f t="shared" si="3"/>
        <v>0</v>
      </c>
      <c r="AF70" s="135">
        <f>IF($C57="","",'m glavni 32'!$C$57)</f>
        <v>6917</v>
      </c>
      <c r="AG70" s="133" t="str">
        <f>UPPER(IF($D$57="","",VLOOKUP($D$57,'[1]m glavni turnir žrebna lista'!$A$7:$R$38,3)))</f>
        <v>LAVRENČIČ</v>
      </c>
      <c r="AH70" s="133" t="str">
        <f>PROPER(IF($D$57="","",VLOOKUP($D$57,'[1]m glavni turnir žrebna lista'!$A$7:$R$38,4)))</f>
        <v>Nejc</v>
      </c>
      <c r="AI70" s="133" t="str">
        <f>UPPER(IF($D$57="","",VLOOKUP($D$57,'[1]m glavni turnir žrebna lista'!$A$7:$R$38,5)))</f>
        <v>N.GOR</v>
      </c>
      <c r="AJ70" s="358">
        <f t="shared" si="4"/>
        <v>15</v>
      </c>
    </row>
    <row r="71" spans="1:36" s="170" customFormat="1" ht="9" customHeight="1">
      <c r="A71" s="158" t="s">
        <v>36</v>
      </c>
      <c r="B71" s="159"/>
      <c r="C71" s="160"/>
      <c r="D71" s="161" t="s">
        <v>37</v>
      </c>
      <c r="E71" s="162" t="s">
        <v>38</v>
      </c>
      <c r="F71" s="161"/>
      <c r="G71" s="161" t="s">
        <v>39</v>
      </c>
      <c r="H71" s="371" t="s">
        <v>40</v>
      </c>
      <c r="I71" s="165" t="s">
        <v>37</v>
      </c>
      <c r="J71" s="162" t="s">
        <v>113</v>
      </c>
      <c r="K71" s="289"/>
      <c r="L71" s="167" t="s">
        <v>42</v>
      </c>
      <c r="M71" s="168"/>
      <c r="N71" s="169" t="s">
        <v>114</v>
      </c>
      <c r="O71" s="372"/>
      <c r="P71" s="422" t="s">
        <v>115</v>
      </c>
      <c r="Q71" s="423"/>
      <c r="U71" s="314"/>
      <c r="V71" s="133">
        <v>27</v>
      </c>
      <c r="W71" s="133" t="str">
        <f>UPPER(IF($D$59="","",VLOOKUP($D$59,'[1]m glavni turnir žrebna lista'!$A$7:$R$38,3)))</f>
        <v>FUGINA</v>
      </c>
      <c r="X71" s="133" t="str">
        <f>PROPER(IF($D$59="","",VLOOKUP($D$59,'[1]m glavni turnir žrebna lista'!$A$7:$R$38,4)))</f>
        <v>Vid</v>
      </c>
      <c r="Y71" s="131">
        <f>IF(W71="","",IF($U$60&lt;&gt;$U$59,"",IF($J$61="bb",1,IF($J$61="","0",$I$61))))</f>
        <v>10</v>
      </c>
      <c r="Z71" s="131">
        <f>IF($W$45="","",IF($U$58&lt;&gt;$U$59,"",IF($L$59="bb",1,IF($L$59="","0",$K$56))))</f>
      </c>
      <c r="AA71" s="131">
        <f>IF($W$45="","",IF($U$62&lt;&gt;$U$59,"",IF($N$63="bb",1,IF($N$63="","0",$M$66))))</f>
      </c>
      <c r="AB71" s="131">
        <f>IF($W$45="","",IF($U$54&lt;&gt;$U$59,"",IF($P$55="bb",1,IF($P$55="","0",$O$46))))</f>
      </c>
      <c r="AC71" s="131">
        <f>IF($W$45="","",IF($U$38&lt;&gt;$U$59,"",IF($P$39="bb",1,IF($P$39="","0",$Q$22))))</f>
      </c>
      <c r="AD71" s="131"/>
      <c r="AE71" s="358">
        <f t="shared" si="3"/>
        <v>10</v>
      </c>
      <c r="AF71" s="135">
        <f>IF($C59="","",'m glavni 32'!$C$59)</f>
        <v>5908</v>
      </c>
      <c r="AG71" s="133" t="str">
        <f>UPPER(IF($D$59="","",VLOOKUP($D$59,'[1]m glavni turnir žrebna lista'!$A$7:$R$38,3)))</f>
        <v>FUGINA</v>
      </c>
      <c r="AH71" s="133" t="str">
        <f>PROPER(IF($D$59="","",VLOOKUP($D$59,'[1]m glavni turnir žrebna lista'!$A$7:$R$38,4)))</f>
        <v>Vid</v>
      </c>
      <c r="AI71" s="133" t="str">
        <f>UPPER(IF($D$59="","",VLOOKUP($D$59,'[1]m glavni turnir žrebna lista'!$A$7:$R$38,5)))</f>
        <v>TC-LJ</v>
      </c>
      <c r="AJ71" s="358">
        <f t="shared" si="4"/>
        <v>40</v>
      </c>
    </row>
    <row r="72" spans="1:36" s="170" customFormat="1" ht="9" customHeight="1">
      <c r="A72" s="172" t="s">
        <v>4</v>
      </c>
      <c r="B72" s="173"/>
      <c r="C72" s="174"/>
      <c r="D72" s="51">
        <v>1</v>
      </c>
      <c r="E72" s="373" t="str">
        <f>UPPER(IF($D72="","",VLOOKUP($D72,'[1]m glavni turnir žrebna lista'!$A$7:$R$38,3)))</f>
        <v>GORŠIČ</v>
      </c>
      <c r="F72" s="52"/>
      <c r="G72" s="177">
        <f>IF($D72="","",VLOOKUP($D72,'[1]m glavni turnir žrebna lista'!$A$7:$R$38,10))</f>
        <v>4</v>
      </c>
      <c r="H72" s="177">
        <f>IF($D72="","",VLOOKUP($D72,'[1]m glavni turnir žrebna lista'!$A$7:$R$38,14))</f>
        <v>70</v>
      </c>
      <c r="I72" s="178" t="s">
        <v>45</v>
      </c>
      <c r="J72" s="173" t="s">
        <v>116</v>
      </c>
      <c r="K72" s="54"/>
      <c r="L72" s="173" t="s">
        <v>117</v>
      </c>
      <c r="M72" s="179"/>
      <c r="N72" s="180" t="s">
        <v>118</v>
      </c>
      <c r="O72" s="374"/>
      <c r="P72" s="181"/>
      <c r="Q72" s="179"/>
      <c r="U72" s="314"/>
      <c r="V72" s="133">
        <v>28</v>
      </c>
      <c r="W72" s="133" t="str">
        <f>UPPER(IF($D$61="","",VLOOKUP($D$61,'[1]m glavni turnir žrebna lista'!$A$7:$R$38,3)))</f>
        <v>ZUPANČIČ</v>
      </c>
      <c r="X72" s="133" t="str">
        <f>PROPER(IF($D$61="","",VLOOKUP($D$61,'[1]m glavni turnir žrebna lista'!$A$7:$R$38,4)))</f>
        <v>Filip Jakob</v>
      </c>
      <c r="Y72" s="131">
        <f>IF(W72="","",IF($U$60&lt;&gt;$U$61,"",IF($J$61="bb",1,IF($J$61="","0",$I$59))))</f>
      </c>
      <c r="Z72" s="131">
        <f>IF($W$45="","",IF($U$58&lt;&gt;$U$61,"",IF($L$59="bb",1,IF($L$59="","0",$K$56))))</f>
      </c>
      <c r="AA72" s="131">
        <f>IF($W$45="","",IF($U$62&lt;&gt;$U$61,"",IF($N$63="bb",1,IF($N$63="","0",$M$66))))</f>
      </c>
      <c r="AB72" s="131">
        <f>IF($W$45="","",IF($U$54&lt;&gt;$U$61,"",IF($P$55="bb",1,IF($P$55="","0",$O$46))))</f>
      </c>
      <c r="AC72" s="131">
        <f>IF($W$45="","",IF($U$38&lt;&gt;$U$61,"",IF($P$39="bb",1,IF($P$39="","0",$Q$22))))</f>
      </c>
      <c r="AD72" s="131"/>
      <c r="AE72" s="358">
        <f t="shared" si="3"/>
        <v>0</v>
      </c>
      <c r="AF72" s="135">
        <f>IF($C61="","",'m glavni 32'!$C$61)</f>
        <v>6572</v>
      </c>
      <c r="AG72" s="133" t="str">
        <f>UPPER(IF($D$61="","",VLOOKUP($D$61,'[1]m glavni turnir žrebna lista'!$A$7:$R$38,3)))</f>
        <v>ZUPANČIČ</v>
      </c>
      <c r="AH72" s="133" t="str">
        <f>PROPER(IF($D$61="","",VLOOKUP($D$61,'[1]m glavni turnir žrebna lista'!$A$7:$R$38,4)))</f>
        <v>Filip Jakob</v>
      </c>
      <c r="AI72" s="133" t="str">
        <f>UPPER(IF($D$61="","",VLOOKUP($D$61,'[1]m glavni turnir žrebna lista'!$A$7:$R$38,5)))</f>
        <v>ZKLUB</v>
      </c>
      <c r="AJ72" s="358">
        <f t="shared" si="4"/>
        <v>15</v>
      </c>
    </row>
    <row r="73" spans="1:36" s="170" customFormat="1" ht="9" customHeight="1">
      <c r="A73" s="415">
        <v>40695</v>
      </c>
      <c r="B73" s="416"/>
      <c r="C73" s="375"/>
      <c r="D73" s="51">
        <v>2</v>
      </c>
      <c r="E73" s="373" t="str">
        <f>UPPER(IF($D73="","",VLOOKUP($D73,'[1]m glavni turnir žrebna lista'!$A$7:$R$38,3)))</f>
        <v>VOLK</v>
      </c>
      <c r="F73" s="51"/>
      <c r="G73" s="177">
        <f>IF($D73="","",VLOOKUP($D73,'[1]m glavni turnir žrebna lista'!$A$7:$R$38,10))</f>
        <v>8</v>
      </c>
      <c r="H73" s="177">
        <f>IF($D73="","",VLOOKUP($D73,'[1]m glavni turnir žrebna lista'!$A$7:$R$38,14))</f>
        <v>40</v>
      </c>
      <c r="I73" s="182" t="s">
        <v>47</v>
      </c>
      <c r="J73" s="376"/>
      <c r="K73" s="54"/>
      <c r="L73" s="173"/>
      <c r="M73" s="179"/>
      <c r="N73" s="183" t="s">
        <v>119</v>
      </c>
      <c r="O73" s="184"/>
      <c r="P73" s="185"/>
      <c r="Q73" s="186"/>
      <c r="U73" s="314"/>
      <c r="V73" s="133">
        <v>29</v>
      </c>
      <c r="W73" s="133" t="str">
        <f>UPPER(IF($D$63="","",VLOOKUP($D$63,'[1]m glavni turnir žrebna lista'!$A$7:$R$38,3)))</f>
        <v>BREC</v>
      </c>
      <c r="X73" s="133" t="str">
        <f>PROPER(IF($D$63="","",VLOOKUP($D$63,'[1]m glavni turnir žrebna lista'!$A$7:$R$38,4)))</f>
        <v>Jakob</v>
      </c>
      <c r="Y73" s="131">
        <f>IF(W73="","",IF($U$64&lt;&gt;$U$63,"",IF($J$65="bb",1,IF($J$65="","0",$I$65))))</f>
      </c>
      <c r="Z73" s="131">
        <f>IF($W$45="","",IF($U$66&lt;&gt;$U$63,"",IF($L$67="bb",1,IF($L$67="","0",$K$68))))</f>
      </c>
      <c r="AA73" s="131">
        <f>IF($W$45="","",IF($U$62&lt;&gt;$U$63,"",IF($N$63="bb",1,IF($N$63="","0",$M$58))))</f>
      </c>
      <c r="AB73" s="131">
        <f>IF($W$45="","",IF($U$54&lt;&gt;$U$63,"",IF($P$55="bb",1,IF($P$55="","0",$O$46))))</f>
      </c>
      <c r="AC73" s="131">
        <f>IF($W$45="","",IF($U$38&lt;&gt;$U$63,"",IF($P$39="bb",1,IF($P$39="","0",$Q$22))))</f>
      </c>
      <c r="AD73" s="131"/>
      <c r="AE73" s="358">
        <f t="shared" si="3"/>
        <v>0</v>
      </c>
      <c r="AF73" s="135">
        <f>IF($C63="","",'m glavni 32'!$C$63)</f>
        <v>5928</v>
      </c>
      <c r="AG73" s="133" t="str">
        <f>UPPER(IF($D$63="","",VLOOKUP($D$63,'[1]m glavni turnir žrebna lista'!$A$7:$R$38,3)))</f>
        <v>BREC</v>
      </c>
      <c r="AH73" s="133" t="str">
        <f>PROPER(IF($D$63="","",VLOOKUP($D$63,'[1]m glavni turnir žrebna lista'!$A$7:$R$38,4)))</f>
        <v>Jakob</v>
      </c>
      <c r="AI73" s="133" t="str">
        <f>UPPER(IF($D$63="","",VLOOKUP($D$63,'[1]m glavni turnir žrebna lista'!$A$7:$R$38,5)))</f>
        <v>TENAN</v>
      </c>
      <c r="AJ73" s="358">
        <f t="shared" si="4"/>
        <v>15</v>
      </c>
    </row>
    <row r="74" spans="1:36" s="170" customFormat="1" ht="9" customHeight="1">
      <c r="A74" s="187"/>
      <c r="B74" s="188"/>
      <c r="C74" s="189"/>
      <c r="D74" s="51">
        <v>3</v>
      </c>
      <c r="E74" s="373" t="str">
        <f>UPPER(IF($D74="","",VLOOKUP($D74,'[1]m glavni turnir žrebna lista'!$A$7:$R$38,3)))</f>
        <v>CAJZEK</v>
      </c>
      <c r="F74" s="51"/>
      <c r="G74" s="177">
        <f>IF($D74="","",VLOOKUP($D74,'[1]m glavni turnir žrebna lista'!$A$7:$R$38,10))</f>
        <v>9</v>
      </c>
      <c r="H74" s="177">
        <f>IF($D74="","",VLOOKUP($D74,'[1]m glavni turnir žrebna lista'!$A$7:$R$38,14))</f>
        <v>40</v>
      </c>
      <c r="I74" s="182" t="s">
        <v>49</v>
      </c>
      <c r="J74" s="376"/>
      <c r="K74" s="54"/>
      <c r="L74" s="173"/>
      <c r="M74" s="179"/>
      <c r="N74" s="180" t="s">
        <v>53</v>
      </c>
      <c r="O74" s="374"/>
      <c r="P74" s="181"/>
      <c r="Q74" s="179"/>
      <c r="U74" s="314"/>
      <c r="V74" s="133">
        <v>30</v>
      </c>
      <c r="W74" s="133" t="str">
        <f>UPPER(IF($D$65="","",VLOOKUP($D$65,'[1]m glavni turnir žrebna lista'!$A$7:$R$38,3)))</f>
        <v>JANEŽIČ</v>
      </c>
      <c r="X74" s="133" t="str">
        <f>PROPER(IF($D$65="","",VLOOKUP($D$65,'[1]m glavni turnir žrebna lista'!$A$7:$R$38,4)))</f>
        <v>Dorian Tomaž</v>
      </c>
      <c r="Y74" s="131">
        <f>IF(W74="","",IF($U$64&lt;&gt;$U$65,"",IF($J$65="bb",1,IF($J$65="","0",$I$63))))</f>
        <v>20</v>
      </c>
      <c r="Z74" s="131">
        <f>IF($W$45="","",IF($U$66&lt;&gt;$U$65,"",IF($L$67="bb",1,IF($L$67="","0",$K$68))))</f>
        <v>40</v>
      </c>
      <c r="AA74" s="131">
        <f>IF($W$45="","",IF($U$62&lt;&gt;$U$65,"",IF($N$63="bb",1,IF($N$63="","0",$M$58))))</f>
      </c>
      <c r="AB74" s="131">
        <f>IF($W$45="","",IF($U$54&lt;&gt;$U$65,"",IF($P$55="bb",1,IF($P$55="","0",$O$46))))</f>
      </c>
      <c r="AC74" s="131">
        <f>IF($W$45="","",IF($U$38&lt;&gt;$U$65,"",IF($P$39="bb",1,IF($P$39="","0",$Q$22))))</f>
      </c>
      <c r="AD74" s="131"/>
      <c r="AE74" s="358">
        <f t="shared" si="3"/>
        <v>60</v>
      </c>
      <c r="AF74" s="135">
        <f>IF($C65="","",'m glavni 32'!$C$65)</f>
        <v>5930</v>
      </c>
      <c r="AG74" s="133" t="str">
        <f>UPPER(IF($D$65="","",VLOOKUP($D$65,'[1]m glavni turnir žrebna lista'!$A$7:$R$38,3)))</f>
        <v>JANEŽIČ</v>
      </c>
      <c r="AH74" s="133" t="str">
        <f>PROPER(IF($D$65="","",VLOOKUP($D$65,'[1]m glavni turnir žrebna lista'!$A$7:$R$38,4)))</f>
        <v>Dorian Tomaž</v>
      </c>
      <c r="AI74" s="133" t="str">
        <f>UPPER(IF($D$65="","",VLOOKUP($D$65,'[1]m glavni turnir žrebna lista'!$A$7:$R$38,5)))</f>
        <v>BENČ</v>
      </c>
      <c r="AJ74" s="358">
        <f t="shared" si="4"/>
        <v>120</v>
      </c>
    </row>
    <row r="75" spans="1:36" s="170" customFormat="1" ht="9" customHeight="1">
      <c r="A75" s="190"/>
      <c r="B75" s="50"/>
      <c r="C75" s="174"/>
      <c r="D75" s="51">
        <v>4</v>
      </c>
      <c r="E75" s="373" t="str">
        <f>UPPER(IF($D75="","",VLOOKUP($D75,'[1]m glavni turnir žrebna lista'!$A$7:$R$38,3)))</f>
        <v>OGOREVC</v>
      </c>
      <c r="F75" s="51"/>
      <c r="G75" s="177">
        <f>IF($D75="","",VLOOKUP($D75,'[1]m glavni turnir žrebna lista'!$A$7:$R$38,10))</f>
        <v>10</v>
      </c>
      <c r="H75" s="177">
        <f>IF($D75="","",VLOOKUP($D75,'[1]m glavni turnir žrebna lista'!$A$7:$R$38,14))</f>
        <v>30</v>
      </c>
      <c r="I75" s="182" t="s">
        <v>51</v>
      </c>
      <c r="J75" s="376"/>
      <c r="K75" s="54"/>
      <c r="L75" s="173"/>
      <c r="M75" s="179"/>
      <c r="N75" s="173" t="s">
        <v>120</v>
      </c>
      <c r="O75" s="54"/>
      <c r="P75" s="173"/>
      <c r="Q75" s="179"/>
      <c r="U75" s="314"/>
      <c r="V75" s="133">
        <v>31</v>
      </c>
      <c r="W75" s="133" t="str">
        <f>UPPER(IF($D$67="","",VLOOKUP($D$67,'[1]m glavni turnir žrebna lista'!$A$7:$R$38,3)))</f>
        <v>DACAR</v>
      </c>
      <c r="X75" s="133" t="str">
        <f>PROPER(IF($D$67="","",VLOOKUP($D$67,'[1]m glavni turnir žrebna lista'!$A$7:$R$38,4)))</f>
        <v>Urban</v>
      </c>
      <c r="Y75" s="131">
        <f>IF(W75="","",IF($U$68&lt;&gt;$U$67,"",IF($J$69="bb",1,IF($J$69="","0",$I$69))))</f>
      </c>
      <c r="Z75" s="131">
        <f>IF($W$45="","",IF($U$66&lt;&gt;$U$67,"",IF($L$67="bb",1,IF($L$67="","0",$K$64))))</f>
      </c>
      <c r="AA75" s="131">
        <f>IF($W$45="","",IF($U$62&lt;&gt;$U$67,"",IF($N$63="bb",1,IF($N$63="","0",$M$58))))</f>
      </c>
      <c r="AB75" s="131">
        <f>IF($W$45="","",IF($U$54&lt;&gt;$U$67,"",IF($P$55="bb",1,IF($P$55="","0",$O$46))))</f>
      </c>
      <c r="AC75" s="131">
        <f>IF($W$45="","",IF($U$38&lt;&gt;$U$67,"",IF($P$39="bb",1,IF($P$39="","0",$Q$22))))</f>
      </c>
      <c r="AD75" s="131"/>
      <c r="AE75" s="358">
        <f t="shared" si="3"/>
        <v>0</v>
      </c>
      <c r="AF75" s="135">
        <f>IF($C67="","",'m glavni 32'!$C$67)</f>
        <v>6680</v>
      </c>
      <c r="AG75" s="133" t="str">
        <f>UPPER(IF($D$67="","",VLOOKUP($D$67,'[1]m glavni turnir žrebna lista'!$A$7:$R$38,3)))</f>
        <v>DACAR</v>
      </c>
      <c r="AH75" s="133" t="str">
        <f>PROPER(IF($D$67="","",VLOOKUP($D$67,'[1]m glavni turnir žrebna lista'!$A$7:$R$38,4)))</f>
        <v>Urban</v>
      </c>
      <c r="AI75" s="133" t="str">
        <f>UPPER(IF($D$67="","",VLOOKUP($D$67,'[1]m glavni turnir žrebna lista'!$A$7:$R$38,5)))</f>
        <v>TOPTE</v>
      </c>
      <c r="AJ75" s="358">
        <f t="shared" si="4"/>
        <v>15</v>
      </c>
    </row>
    <row r="76" spans="1:36" s="170" customFormat="1" ht="9" customHeight="1">
      <c r="A76" s="191"/>
      <c r="B76" s="192"/>
      <c r="C76" s="193"/>
      <c r="D76" s="51">
        <v>5</v>
      </c>
      <c r="E76" s="373" t="str">
        <f>UPPER(IF($D76="","",VLOOKUP($D76,'[1]m glavni turnir žrebna lista'!$A$7:$R$38,3)))</f>
        <v>GERMIČ</v>
      </c>
      <c r="F76" s="51"/>
      <c r="G76" s="177">
        <f>IF($D76="","",VLOOKUP($D76,'[1]m glavni turnir žrebna lista'!$A$7:$R$38,10))</f>
        <v>11</v>
      </c>
      <c r="H76" s="177">
        <f>IF($D76="","",VLOOKUP($D76,'[1]m glavni turnir žrebna lista'!$A$7:$R$38,14))</f>
        <v>30</v>
      </c>
      <c r="I76" s="182" t="s">
        <v>52</v>
      </c>
      <c r="J76" s="376"/>
      <c r="K76" s="54"/>
      <c r="L76" s="173"/>
      <c r="M76" s="179"/>
      <c r="N76" s="185" t="s">
        <v>121</v>
      </c>
      <c r="O76" s="184"/>
      <c r="P76" s="185"/>
      <c r="Q76" s="186"/>
      <c r="U76" s="314"/>
      <c r="V76" s="133">
        <v>32</v>
      </c>
      <c r="W76" s="133" t="str">
        <f>UPPER(IF($D$69="","",VLOOKUP($D$69,'[1]m glavni turnir žrebna lista'!$A$7:$R$38,3)))</f>
        <v>VOLK</v>
      </c>
      <c r="X76" s="133" t="str">
        <f>PROPER(IF($D$69="","",VLOOKUP($D$69,'[1]m glavni turnir žrebna lista'!$A$7:$R$38,4)))</f>
        <v>Luka</v>
      </c>
      <c r="Y76" s="131">
        <f>IF(W76="","",IF($U$68&lt;&gt;$U$69,"",IF($J$69="bb",1,IF($J$69="","0",$I$67))))</f>
        <v>20</v>
      </c>
      <c r="Z76" s="131">
        <f>IF($W$45="","",IF($U$66&lt;&gt;$U$69,"",IF($L$67="bb",1,IF($L$67="","0",$K$64))))</f>
      </c>
      <c r="AA76" s="131">
        <f>IF($W$45="","",IF($U$62&lt;&gt;$U$69,"",IF($N$63="bb",1,IF($N$63="","0",$M$58))))</f>
      </c>
      <c r="AB76" s="131">
        <f>IF($W$45="","",IF($U$54&lt;&gt;$U$69,"",IF($P$55="bb",1,IF($P$55="","0",$O$46))))</f>
      </c>
      <c r="AC76" s="131">
        <f>IF($W$45="","",IF($U$38&lt;&gt;$U$69,"",IF($P$39="bb",1,IF($P$39="","0",$Q$22))))</f>
      </c>
      <c r="AD76" s="131"/>
      <c r="AE76" s="358">
        <f t="shared" si="3"/>
        <v>20</v>
      </c>
      <c r="AF76" s="135">
        <f>IF($C69="","",'m glavni 32'!$C$69)</f>
        <v>6279</v>
      </c>
      <c r="AG76" s="133" t="str">
        <f>UPPER(IF($D$69="","",VLOOKUP($D$69,'[1]m glavni turnir žrebna lista'!$A$7:$R$38,3)))</f>
        <v>VOLK</v>
      </c>
      <c r="AH76" s="133" t="str">
        <f>PROPER(IF($D$69="","",VLOOKUP($D$69,'[1]m glavni turnir žrebna lista'!$A$7:$R$38,4)))</f>
        <v>Luka</v>
      </c>
      <c r="AI76" s="133" t="str">
        <f>UPPER(IF($D$69="","",VLOOKUP($D$69,'[1]m glavni turnir žrebna lista'!$A$7:$R$38,5)))</f>
        <v>TR-KR</v>
      </c>
      <c r="AJ76" s="358">
        <f t="shared" si="4"/>
        <v>50</v>
      </c>
    </row>
    <row r="77" spans="1:36" s="170" customFormat="1" ht="9" customHeight="1">
      <c r="A77" s="172"/>
      <c r="B77" s="173"/>
      <c r="C77" s="174"/>
      <c r="D77" s="51">
        <v>6</v>
      </c>
      <c r="E77" s="373" t="str">
        <f>UPPER(IF($D77="","",VLOOKUP($D77,'[1]m glavni turnir žrebna lista'!$A$7:$R$38,3)))</f>
        <v>VOVK</v>
      </c>
      <c r="F77" s="51"/>
      <c r="G77" s="177">
        <f>IF($D77="","",VLOOKUP($D77,'[1]m glavni turnir žrebna lista'!$A$7:$R$38,10))</f>
        <v>12</v>
      </c>
      <c r="H77" s="177">
        <f>IF($D77="","",VLOOKUP($D77,'[1]m glavni turnir žrebna lista'!$A$7:$R$38,14))</f>
        <v>30</v>
      </c>
      <c r="I77" s="182" t="s">
        <v>54</v>
      </c>
      <c r="J77" s="376"/>
      <c r="K77" s="54"/>
      <c r="L77" s="173"/>
      <c r="M77" s="179"/>
      <c r="N77" s="180" t="s">
        <v>53</v>
      </c>
      <c r="O77" s="374"/>
      <c r="P77" s="181"/>
      <c r="Q77" s="179"/>
      <c r="U77" s="314"/>
      <c r="V77" s="171"/>
      <c r="W77" s="171"/>
      <c r="X77" s="171"/>
      <c r="Y77" s="131">
        <f>COUNTIF(Y45:Y76,"&gt;0")</f>
        <v>16</v>
      </c>
      <c r="Z77" s="131">
        <f>COUNTIF(Z45:Z76,"&gt;0")</f>
        <v>6</v>
      </c>
      <c r="AA77" s="131">
        <f>COUNTIF(AA45:AA76,"&gt;0")</f>
        <v>2</v>
      </c>
      <c r="AB77" s="131">
        <f>COUNTIF(AB45:AB76,"&gt;0")</f>
        <v>1</v>
      </c>
      <c r="AC77" s="131">
        <f>COUNTIF(AC45:AC76,"&gt;0")</f>
        <v>0</v>
      </c>
      <c r="AD77" s="131"/>
      <c r="AE77" s="131">
        <f>COUNTIF(AE45:AE76,"&gt;0")</f>
        <v>16</v>
      </c>
      <c r="AF77" s="135"/>
      <c r="AG77" s="171"/>
      <c r="AH77" s="171"/>
      <c r="AI77" s="171"/>
      <c r="AJ77" s="131">
        <f>COUNTIF(AJ45:AJ76,"&gt;0")</f>
        <v>32</v>
      </c>
    </row>
    <row r="78" spans="1:36" s="170" customFormat="1" ht="9" customHeight="1">
      <c r="A78" s="172"/>
      <c r="B78" s="173"/>
      <c r="C78" s="195"/>
      <c r="D78" s="51">
        <v>7</v>
      </c>
      <c r="E78" s="373" t="str">
        <f>UPPER(IF($D78="","",VLOOKUP($D78,'[1]m glavni turnir žrebna lista'!$A$7:$R$38,3)))</f>
        <v>GAŠPERŠIČ</v>
      </c>
      <c r="F78" s="51"/>
      <c r="G78" s="177">
        <f>IF($D78="","",VLOOKUP($D78,'[1]m glavni turnir žrebna lista'!$A$7:$R$38,10))</f>
        <v>17</v>
      </c>
      <c r="H78" s="177">
        <f>IF($D78="","",VLOOKUP($D78,'[1]m glavni turnir žrebna lista'!$A$7:$R$38,14))</f>
        <v>30</v>
      </c>
      <c r="I78" s="182" t="s">
        <v>55</v>
      </c>
      <c r="J78" s="376"/>
      <c r="K78" s="54"/>
      <c r="L78" s="173"/>
      <c r="M78" s="179"/>
      <c r="N78" s="173" t="s">
        <v>122</v>
      </c>
      <c r="O78" s="54"/>
      <c r="P78" s="417" t="str">
        <f>'[1]vnos podatkov'!$B$10</f>
        <v>Mladen Sredojevič</v>
      </c>
      <c r="Q78" s="418"/>
      <c r="U78" s="314"/>
      <c r="V78" s="171"/>
      <c r="W78" s="171"/>
      <c r="X78" s="171"/>
      <c r="Y78" s="171"/>
      <c r="Z78" s="171"/>
      <c r="AA78" s="171"/>
      <c r="AB78" s="171"/>
      <c r="AC78" s="171"/>
      <c r="AD78" s="171"/>
      <c r="AE78" s="171"/>
      <c r="AF78" s="135"/>
      <c r="AG78" s="171"/>
      <c r="AH78" s="171"/>
      <c r="AI78" s="171"/>
      <c r="AJ78" s="171"/>
    </row>
    <row r="79" spans="1:36" s="170" customFormat="1" ht="9" customHeight="1">
      <c r="A79" s="196"/>
      <c r="B79" s="185"/>
      <c r="C79" s="197"/>
      <c r="D79" s="198">
        <v>8</v>
      </c>
      <c r="E79" s="377" t="str">
        <f>UPPER(IF($D79="","",VLOOKUP($D79,'[1]m glavni turnir žrebna lista'!$A$7:$R$38,3)))</f>
        <v>VOVK</v>
      </c>
      <c r="F79" s="198"/>
      <c r="G79" s="200">
        <f>IF($D79="","",VLOOKUP($D79,'[1]m glavni turnir žrebna lista'!$A$7:$R$38,10))</f>
        <v>20</v>
      </c>
      <c r="H79" s="200">
        <f>IF($D79="","",VLOOKUP($D79,'[1]m glavni turnir žrebna lista'!$A$7:$R$38,14))</f>
        <v>20</v>
      </c>
      <c r="I79" s="201" t="s">
        <v>56</v>
      </c>
      <c r="J79" s="185"/>
      <c r="K79" s="184"/>
      <c r="L79" s="185"/>
      <c r="M79" s="186"/>
      <c r="N79" s="185" t="s">
        <v>123</v>
      </c>
      <c r="O79" s="184"/>
      <c r="P79" s="413" t="str">
        <f>'[1]vnos podatkov'!$E$10</f>
        <v>Anja Regent</v>
      </c>
      <c r="Q79" s="414"/>
      <c r="U79" s="314"/>
      <c r="V79" s="378"/>
      <c r="W79" s="378"/>
      <c r="X79" s="378"/>
      <c r="Y79" s="378"/>
      <c r="Z79" s="378"/>
      <c r="AA79" s="378"/>
      <c r="AB79" s="378"/>
      <c r="AC79" s="378"/>
      <c r="AD79" s="378"/>
      <c r="AE79" s="378"/>
      <c r="AF79" s="379"/>
      <c r="AG79" s="378"/>
      <c r="AH79" s="378"/>
      <c r="AI79" s="378"/>
      <c r="AJ79" s="378"/>
    </row>
  </sheetData>
  <sheetProtection/>
  <mergeCells count="8">
    <mergeCell ref="F3:G3"/>
    <mergeCell ref="V41:Z41"/>
    <mergeCell ref="P79:Q79"/>
    <mergeCell ref="A73:B73"/>
    <mergeCell ref="P78:Q78"/>
    <mergeCell ref="P60:Q60"/>
    <mergeCell ref="P61:Q62"/>
    <mergeCell ref="P71:Q71"/>
  </mergeCells>
  <conditionalFormatting sqref="G39 G41 G7 G9 G11 G13 G15 G17 G19 G23 G43 G45 G47 G49 G51 G53 G21 G25 G27 G29 G31 G33 G35 G37 G55 G57 G59 G61 G63 G65 G67 G69">
    <cfRule type="expression" priority="1" dxfId="10" stopIfTrue="1">
      <formula>AND($D7&lt;9,$C7&gt;0)</formula>
    </cfRule>
  </conditionalFormatting>
  <conditionalFormatting sqref="L10 L18 L26 L34 L42 L50 L58 L66 N14 N30 N46 N62 P22 P54 J8 J12 J16 J20 J24 J28 J32 J36 J40 J44 J48 J52 J56 J60 J64 J68">
    <cfRule type="expression" priority="2" dxfId="10" stopIfTrue="1">
      <formula>I8="as"</formula>
    </cfRule>
    <cfRule type="expression" priority="3" dxfId="10" stopIfTrue="1">
      <formula>I8="bs"</formula>
    </cfRule>
  </conditionalFormatting>
  <conditionalFormatting sqref="B57 B9 B11 B13 B15 B17 B19 B67 B59 B25 B27 B29 B31 B33 B35 B65 B63 B41 B43 B45 B47 B49 B51 B61">
    <cfRule type="cellIs" priority="4" dxfId="8" operator="equal" stopIfTrue="1">
      <formula>"QA"</formula>
    </cfRule>
    <cfRule type="cellIs" priority="5" dxfId="8" operator="equal" stopIfTrue="1">
      <formula>"DA"</formula>
    </cfRule>
  </conditionalFormatting>
  <conditionalFormatting sqref="I8 I12 I16 I20 I24 I28 I32 I36 I40 I44 I48 I52 I56 I60 I64 I68 K66 K58 K50 K42 K34 K26 K18 K10 M14 M30 M46 M62 O22 O54 O39">
    <cfRule type="expression" priority="6" dxfId="7" stopIfTrue="1">
      <formula>$N$1="CU"</formula>
    </cfRule>
  </conditionalFormatting>
  <conditionalFormatting sqref="P38">
    <cfRule type="expression" priority="7" dxfId="10" stopIfTrue="1">
      <formula>O39="as"</formula>
    </cfRule>
    <cfRule type="expression" priority="8" dxfId="10" stopIfTrue="1">
      <formula>O39="bs"</formula>
    </cfRule>
  </conditionalFormatting>
  <conditionalFormatting sqref="N39 H8 H12 H16 H20 H24 H28 H32 H36 H40 H44 H48 H52 H56 H60 H64 H68 J66 J58 J50 J42 J34 J26 J18 J10 L14 L30 L46 L62 N54 N22">
    <cfRule type="expression" priority="9" dxfId="4" stopIfTrue="1">
      <formula>AND($N$1="CU",H8="Sodnik")</formula>
    </cfRule>
    <cfRule type="expression" priority="10" dxfId="3" stopIfTrue="1">
      <formula>AND($N$1="CU",H8&lt;&gt;"Sodnik",I8&lt;&gt;"")</formula>
    </cfRule>
    <cfRule type="expression" priority="11" dxfId="2" stopIfTrue="1">
      <formula>AND($N$1="CU",H8&lt;&gt;"Sodnik")</formula>
    </cfRule>
  </conditionalFormatting>
  <conditionalFormatting sqref="E7 B21 B7:C7 B23:C23 B37:C37 B39:C39 B53:C53 B55:C55 B69:C69">
    <cfRule type="expression" priority="12" dxfId="10" stopIfTrue="1">
      <formula>"IF(D7&lt;9)"</formula>
    </cfRule>
  </conditionalFormatting>
  <conditionalFormatting sqref="U52">
    <cfRule type="expression" priority="13" dxfId="5" stopIfTrue="1">
      <formula>"IF(Q63=J4)"</formula>
    </cfRule>
  </conditionalFormatting>
  <conditionalFormatting sqref="Q63">
    <cfRule type="cellIs" priority="14" dxfId="43" operator="equal" stopIfTrue="1">
      <formula>1</formula>
    </cfRule>
  </conditionalFormatting>
  <conditionalFormatting sqref="P63">
    <cfRule type="cellIs" priority="15" dxfId="2" operator="equal" stopIfTrue="1">
      <formula>"Rang turnirja"</formula>
    </cfRule>
  </conditionalFormatting>
  <conditionalFormatting sqref="D9 D11 D13 D15 D17 D19 D25 D27 D29 D31 D33 D35 D41 D43 D45 D47 D49 D51 D57 D59 D61 D63 D65 D67">
    <cfRule type="expression" priority="16" dxfId="1" stopIfTrue="1">
      <formula>$D9&gt;0</formula>
    </cfRule>
  </conditionalFormatting>
  <conditionalFormatting sqref="D7 D21 D23 D37 D39 D53 D55 D69">
    <cfRule type="expression" priority="17" dxfId="0" stopIfTrue="1">
      <formula>$D7&lt;&gt;""</formula>
    </cfRule>
  </conditionalFormatting>
  <dataValidations count="1">
    <dataValidation type="list" allowBlank="1" showInputMessage="1" sqref="H68 N22 N39 N54 L62 L30 L14 J10 L46 J18 J26 J34 J42 J50 J58 J66 H60 H56 H52 H48 H28 H24 H44 H40 H36 H12 H32 H8 H20 H64 H16">
      <formula1>$T$7:$T$16</formula1>
    </dataValidation>
  </dataValidations>
  <printOptions horizontalCentered="1"/>
  <pageMargins left="0.35" right="0.35" top="0.39" bottom="0.39" header="0" footer="0"/>
  <pageSetup fitToHeight="1" fitToWidth="1" horizontalDpi="300" verticalDpi="3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K79"/>
  <sheetViews>
    <sheetView showGridLines="0" showZeros="0" zoomScalePageLayoutView="0" workbookViewId="0" topLeftCell="A1">
      <selection activeCell="P45" sqref="P4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2.140625" style="202" customWidth="1"/>
    <col min="10" max="10" width="10.7109375" style="0" customWidth="1"/>
    <col min="11" max="11" width="1.8515625" style="202" customWidth="1"/>
    <col min="12" max="12" width="10.7109375" style="0" customWidth="1"/>
    <col min="13" max="13" width="1.7109375" style="19" customWidth="1"/>
    <col min="14" max="14" width="10.7109375" style="0" customWidth="1"/>
    <col min="15" max="15" width="1.7109375" style="202" customWidth="1"/>
    <col min="16" max="16" width="10.7109375" style="0" customWidth="1"/>
    <col min="17" max="17" width="3.7109375" style="19" customWidth="1"/>
    <col min="18" max="18" width="0" style="0" hidden="1" customWidth="1"/>
    <col min="19" max="19" width="8.57421875" style="0" customWidth="1"/>
    <col min="20" max="20" width="6.8515625" style="0" hidden="1" customWidth="1"/>
    <col min="21" max="21" width="6.8515625" style="20" customWidth="1"/>
    <col min="22" max="22" width="4.421875" style="409" customWidth="1"/>
    <col min="23" max="23" width="10.8515625" style="410" customWidth="1"/>
    <col min="24" max="24" width="12.140625" style="410" customWidth="1"/>
    <col min="25" max="25" width="6.421875" style="387" customWidth="1"/>
    <col min="26" max="26" width="6.28125" style="387" customWidth="1"/>
    <col min="27" max="27" width="7.421875" style="387" customWidth="1"/>
    <col min="28" max="29" width="7.00390625" style="387" customWidth="1"/>
    <col min="30" max="30" width="8.57421875" style="387" customWidth="1"/>
    <col min="31" max="31" width="9.8515625" style="390" customWidth="1"/>
    <col min="32" max="32" width="9.140625" style="203" customWidth="1"/>
    <col min="33" max="33" width="17.00390625" style="0" customWidth="1"/>
    <col min="34" max="34" width="10.7109375" style="0" customWidth="1"/>
    <col min="35" max="35" width="10.00390625" style="0" customWidth="1"/>
    <col min="38" max="38" width="15.7109375" style="0" customWidth="1"/>
    <col min="39" max="39" width="10.421875" style="0" customWidth="1"/>
    <col min="40" max="40" width="8.7109375" style="0" customWidth="1"/>
    <col min="41" max="41" width="9.57421875" style="0" customWidth="1"/>
    <col min="42" max="42" width="6.28125" style="0" customWidth="1"/>
    <col min="43" max="43" width="7.28125" style="0" customWidth="1"/>
    <col min="44" max="44" width="7.8515625" style="0" customWidth="1"/>
    <col min="45" max="45" width="8.140625" style="0" customWidth="1"/>
    <col min="46" max="46" width="7.8515625" style="0" customWidth="1"/>
    <col min="47" max="47" width="7.57421875" style="0" customWidth="1"/>
    <col min="62" max="62" width="10.7109375" style="0" customWidth="1"/>
    <col min="66" max="66" width="12.140625" style="0" customWidth="1"/>
    <col min="67" max="67" width="10.8515625" style="0" customWidth="1"/>
  </cols>
  <sheetData>
    <row r="1" spans="1:32" s="9" customFormat="1" ht="21.75" customHeight="1">
      <c r="A1" s="296" t="s">
        <v>169</v>
      </c>
      <c r="B1" s="2"/>
      <c r="C1" s="3"/>
      <c r="D1" s="3"/>
      <c r="E1" s="3"/>
      <c r="F1" s="3"/>
      <c r="G1" s="3"/>
      <c r="H1" s="4"/>
      <c r="I1" s="3"/>
      <c r="J1" s="5" t="s">
        <v>124</v>
      </c>
      <c r="K1" s="6"/>
      <c r="L1" s="7"/>
      <c r="M1" s="3"/>
      <c r="N1" s="8" t="s">
        <v>1</v>
      </c>
      <c r="O1" s="3"/>
      <c r="P1" s="3"/>
      <c r="Q1" s="3"/>
      <c r="U1" s="10"/>
      <c r="V1" s="382" t="str">
        <f>'[1]vnos podatkov'!$A$6</f>
        <v>OP 16 TK PORTOROŽ</v>
      </c>
      <c r="W1" s="22"/>
      <c r="X1" s="22"/>
      <c r="Y1" s="383"/>
      <c r="Z1" s="383"/>
      <c r="AA1" s="383"/>
      <c r="AB1" s="383"/>
      <c r="AC1" s="383"/>
      <c r="AD1" s="383"/>
      <c r="AE1" s="384"/>
      <c r="AF1" s="223"/>
    </row>
    <row r="2" spans="1:32" s="19" customFormat="1" ht="15">
      <c r="A2" s="13">
        <f>'[1]vnos podatkov'!$A$8</f>
        <v>16</v>
      </c>
      <c r="B2" s="14" t="str">
        <f>'[1]vnos podatkov'!$B$8</f>
        <v>mž</v>
      </c>
      <c r="C2" s="15" t="str">
        <f>'[1]vnos podatkov'!$C$8</f>
        <v>A turnir</v>
      </c>
      <c r="D2" s="14"/>
      <c r="E2" s="14"/>
      <c r="F2" s="16"/>
      <c r="G2" s="17"/>
      <c r="H2" s="17"/>
      <c r="I2" s="17"/>
      <c r="J2" s="5" t="s">
        <v>59</v>
      </c>
      <c r="K2" s="6"/>
      <c r="L2" s="6"/>
      <c r="M2" s="17"/>
      <c r="N2" s="17"/>
      <c r="O2" s="17"/>
      <c r="P2" s="17"/>
      <c r="Q2" s="17"/>
      <c r="U2" s="20"/>
      <c r="V2" s="385">
        <f>'[1]vnos podatkov'!$A$8</f>
        <v>16</v>
      </c>
      <c r="W2" s="150" t="str">
        <f>'[1]vnos podatkov'!$B$8</f>
        <v>mž</v>
      </c>
      <c r="X2" s="22" t="str">
        <f>'[1]vnos podatkov'!$C$8</f>
        <v>A turnir</v>
      </c>
      <c r="Y2" s="386" t="str">
        <f>'[1]vnos podatkov'!$A$10</f>
        <v>20./22.7.2011</v>
      </c>
      <c r="Z2" s="387"/>
      <c r="AA2" s="387"/>
      <c r="AB2" s="387"/>
      <c r="AC2" s="387"/>
      <c r="AD2" s="387"/>
      <c r="AE2" s="388"/>
      <c r="AF2" s="203"/>
    </row>
    <row r="3" spans="1:32" s="29" customFormat="1" ht="11.25" customHeight="1">
      <c r="A3" s="25" t="s">
        <v>3</v>
      </c>
      <c r="B3" s="25"/>
      <c r="C3" s="25"/>
      <c r="D3" s="25" t="s">
        <v>4</v>
      </c>
      <c r="E3" s="25"/>
      <c r="F3" s="25" t="s">
        <v>5</v>
      </c>
      <c r="G3" s="25"/>
      <c r="H3" s="25"/>
      <c r="I3" s="27"/>
      <c r="J3" s="26" t="s">
        <v>6</v>
      </c>
      <c r="K3" s="27"/>
      <c r="L3" s="25" t="s">
        <v>7</v>
      </c>
      <c r="M3" s="27"/>
      <c r="N3" s="26" t="s">
        <v>60</v>
      </c>
      <c r="O3" s="27"/>
      <c r="P3" s="25"/>
      <c r="Q3" s="28" t="s">
        <v>9</v>
      </c>
      <c r="U3" s="30"/>
      <c r="V3" s="315" t="s">
        <v>90</v>
      </c>
      <c r="W3" s="33"/>
      <c r="X3" s="57"/>
      <c r="Y3" s="58"/>
      <c r="Z3" s="36"/>
      <c r="AA3" s="36"/>
      <c r="AB3" s="36"/>
      <c r="AC3" s="36"/>
      <c r="AD3" s="36"/>
      <c r="AE3" s="37"/>
      <c r="AF3" s="247"/>
    </row>
    <row r="4" spans="1:61" s="45" customFormat="1" ht="11.25" customHeight="1" thickBot="1">
      <c r="A4" s="39" t="str">
        <f>'[1]vnos podatkov'!$D$8</f>
        <v>OP</v>
      </c>
      <c r="B4" s="39"/>
      <c r="C4" s="39"/>
      <c r="D4" s="39" t="str">
        <f>'[1]vnos podatkov'!$A$10</f>
        <v>20./22.7.2011</v>
      </c>
      <c r="E4" s="40"/>
      <c r="F4" s="40" t="str">
        <f>'[1]vnos podatkov'!$C$10</f>
        <v>TK Portorož</v>
      </c>
      <c r="G4" s="389"/>
      <c r="H4" s="40"/>
      <c r="I4" s="40"/>
      <c r="J4" s="41">
        <f>'[1]vnos podatkov'!$D$10</f>
        <v>2</v>
      </c>
      <c r="K4" s="40"/>
      <c r="L4" s="42" t="str">
        <f>'[1]vnos podatkov'!$B$10</f>
        <v>Mladen Sredojevič</v>
      </c>
      <c r="M4" s="40"/>
      <c r="N4" s="43">
        <f>COUNTIF(C7:C69,"&gt;0")</f>
        <v>32</v>
      </c>
      <c r="O4" s="40"/>
      <c r="P4" s="40"/>
      <c r="Q4" s="44" t="str">
        <f>'[1]vnos podatkov'!$E$10</f>
        <v>Anja Regent</v>
      </c>
      <c r="U4" s="46"/>
      <c r="V4" s="47"/>
      <c r="W4" s="47"/>
      <c r="X4" s="47"/>
      <c r="Y4" s="48"/>
      <c r="Z4" s="48"/>
      <c r="AA4" s="48"/>
      <c r="AB4" s="48"/>
      <c r="AC4" s="48"/>
      <c r="AD4" s="48"/>
      <c r="AE4" s="48"/>
      <c r="AF4" s="49"/>
      <c r="AK4" s="48"/>
      <c r="AL4" s="48"/>
      <c r="AM4" s="48"/>
      <c r="AN4" s="48"/>
      <c r="AO4" s="48"/>
      <c r="AP4" s="48"/>
      <c r="AQ4" s="48"/>
      <c r="AR4" s="48"/>
      <c r="AS4" s="48"/>
      <c r="AT4" s="48"/>
      <c r="AU4" s="48"/>
      <c r="AV4" s="48"/>
      <c r="AW4" s="48"/>
      <c r="AX4" s="48"/>
      <c r="AY4" s="48"/>
      <c r="AZ4" s="48"/>
      <c r="BA4" s="48"/>
      <c r="BB4" s="48"/>
      <c r="BC4" s="48"/>
      <c r="BD4" s="48"/>
      <c r="BE4" s="48"/>
      <c r="BF4" s="48"/>
      <c r="BG4" s="48"/>
      <c r="BH4" s="48"/>
      <c r="BI4" s="48"/>
    </row>
    <row r="5" spans="1:63" s="29" customFormat="1" ht="12.75">
      <c r="A5" s="50"/>
      <c r="B5" s="51" t="s">
        <v>11</v>
      </c>
      <c r="C5" s="51" t="s">
        <v>12</v>
      </c>
      <c r="D5" s="51" t="s">
        <v>61</v>
      </c>
      <c r="E5" s="52" t="s">
        <v>14</v>
      </c>
      <c r="F5" s="52" t="s">
        <v>15</v>
      </c>
      <c r="G5" s="52"/>
      <c r="H5" s="52" t="s">
        <v>5</v>
      </c>
      <c r="I5" s="52"/>
      <c r="J5" s="51" t="s">
        <v>92</v>
      </c>
      <c r="K5" s="51"/>
      <c r="L5" s="51" t="s">
        <v>91</v>
      </c>
      <c r="M5" s="51"/>
      <c r="N5" s="51" t="s">
        <v>73</v>
      </c>
      <c r="O5" s="51"/>
      <c r="P5" s="51" t="s">
        <v>16</v>
      </c>
      <c r="Q5" s="173"/>
      <c r="U5" s="30" t="s">
        <v>12</v>
      </c>
      <c r="V5" s="55" t="s">
        <v>18</v>
      </c>
      <c r="W5" s="56" t="s">
        <v>14</v>
      </c>
      <c r="X5" s="57" t="s">
        <v>15</v>
      </c>
      <c r="Y5" s="35" t="s">
        <v>19</v>
      </c>
      <c r="Z5" s="58" t="s">
        <v>92</v>
      </c>
      <c r="AA5" s="58" t="s">
        <v>91</v>
      </c>
      <c r="AB5" s="58" t="s">
        <v>73</v>
      </c>
      <c r="AC5" s="58" t="s">
        <v>32</v>
      </c>
      <c r="AD5" s="58" t="s">
        <v>93</v>
      </c>
      <c r="AE5" s="59" t="s">
        <v>22</v>
      </c>
      <c r="AF5" s="247"/>
      <c r="AK5" s="390"/>
      <c r="AL5" s="391"/>
      <c r="AM5" s="391"/>
      <c r="AN5" s="391"/>
      <c r="AO5" s="392"/>
      <c r="AP5" s="391"/>
      <c r="AQ5" s="391"/>
      <c r="AR5" s="391"/>
      <c r="AS5" s="391"/>
      <c r="AT5" s="391"/>
      <c r="AU5" s="391"/>
      <c r="AV5" s="83"/>
      <c r="AW5" s="83"/>
      <c r="AX5" s="83"/>
      <c r="AY5" s="83"/>
      <c r="AZ5" s="83"/>
      <c r="BA5" s="83"/>
      <c r="BB5" s="83"/>
      <c r="BC5" s="83"/>
      <c r="BD5" s="83"/>
      <c r="BE5" s="83"/>
      <c r="BF5" s="83"/>
      <c r="BG5" s="83"/>
      <c r="BH5" s="83"/>
      <c r="BI5" s="83"/>
      <c r="BK5" s="362"/>
    </row>
    <row r="6" spans="1:32" s="29" customFormat="1" ht="3.75" customHeight="1" thickBot="1">
      <c r="A6" s="60"/>
      <c r="B6" s="61"/>
      <c r="C6" s="37"/>
      <c r="D6" s="61"/>
      <c r="E6" s="62"/>
      <c r="F6" s="62"/>
      <c r="G6" s="63"/>
      <c r="H6" s="62"/>
      <c r="I6" s="61"/>
      <c r="J6" s="61"/>
      <c r="K6" s="61"/>
      <c r="L6" s="61"/>
      <c r="M6" s="61"/>
      <c r="N6" s="61"/>
      <c r="O6" s="61"/>
      <c r="P6" s="61"/>
      <c r="Q6" s="393"/>
      <c r="U6" s="30"/>
      <c r="V6" s="66"/>
      <c r="W6" s="67"/>
      <c r="X6" s="68"/>
      <c r="Y6" s="69"/>
      <c r="Z6" s="70"/>
      <c r="AA6" s="70"/>
      <c r="AB6" s="70"/>
      <c r="AC6" s="70"/>
      <c r="AD6" s="70"/>
      <c r="AE6" s="71"/>
      <c r="AF6" s="247"/>
    </row>
    <row r="7" spans="1:63" s="83" customFormat="1" ht="10.5" customHeight="1">
      <c r="A7" s="72">
        <v>1</v>
      </c>
      <c r="B7" s="73" t="str">
        <f>IF($D7="","",VLOOKUP($D7,'[1]ž glavni turnir žrebna lista'!$A$7:$R$38,17))</f>
        <v>D</v>
      </c>
      <c r="C7" s="73">
        <f>IF($D7="","",VLOOKUP($D7,'[1]ž glavni turnir žrebna lista'!$A$7:$R$38,2))</f>
        <v>6453</v>
      </c>
      <c r="D7" s="74">
        <v>1</v>
      </c>
      <c r="E7" s="73" t="str">
        <f>UPPER(IF($D7="","",VLOOKUP($D7,'[1]ž glavni turnir žrebna lista'!$A$7:$R$38,3)))</f>
        <v>OPARENOVIČ</v>
      </c>
      <c r="F7" s="73" t="str">
        <f>PROPER(IF($D7="","",VLOOKUP($D7,'[1]ž glavni turnir žrebna lista'!$A$7:$R$38,4)))</f>
        <v>Ana</v>
      </c>
      <c r="G7" s="73"/>
      <c r="H7" s="73" t="str">
        <f>IF($D7="","",VLOOKUP($D7,'[1]ž glavni turnir žrebna lista'!$A$7:$R$38,5))</f>
        <v>CELJE</v>
      </c>
      <c r="I7" s="394">
        <f>IF($D7="","",VLOOKUP($D7,'[1]ž glavni turnir žrebna lista'!$A$7:$R$38,14))</f>
        <v>40</v>
      </c>
      <c r="J7" s="76"/>
      <c r="K7" s="77"/>
      <c r="L7" s="76"/>
      <c r="M7" s="77"/>
      <c r="N7" s="78"/>
      <c r="O7" s="78"/>
      <c r="P7" s="80"/>
      <c r="Q7" s="80"/>
      <c r="R7" s="82"/>
      <c r="T7" s="395" t="str">
        <f>'[1]glavni sodniki'!P21</f>
        <v>Sodnik</v>
      </c>
      <c r="U7" s="396">
        <f>IF($D7="","",VLOOKUP($D7,'[1]ž glavni turnir žrebna lista'!$A$7:$R$38,2))</f>
        <v>6453</v>
      </c>
      <c r="V7" s="56">
        <v>1</v>
      </c>
      <c r="W7" s="56" t="str">
        <f>UPPER(IF($D7="","",VLOOKUP($D7,'[1]ž glavni turnir žrebna lista'!$A$7:$R$38,3)))</f>
        <v>OPARENOVIČ</v>
      </c>
      <c r="X7" s="56" t="str">
        <f>PROPER(IF($D7="","",VLOOKUP($D7,'[1]ž glavni turnir žrebna lista'!$A$7:$R$38,4)))</f>
        <v>Ana</v>
      </c>
      <c r="Y7" s="397">
        <f aca="true" t="shared" si="0" ref="Y7:Y38">IF(W7="","",IF($Q$63=1,30,IF($Q$63=2,15,IF($Q$63=3,10,""))))</f>
        <v>15</v>
      </c>
      <c r="Z7" s="58">
        <f>IF(Y7="","",IF(AND($Q$63=1,$U$8=$U$7),30,IF(AND($Q$63=2,$U$8=$U$7),15,IF(AND($Q$63=3,$U$8=$U$7),10,""))))</f>
        <v>15</v>
      </c>
      <c r="AA7" s="58">
        <f>IF(Z7="","",IF(AND($Q$63=1,$U$8=$U$10,$U$10=$U$7),60,IF(AND($Q$63=2,$U$8=$U$10,$U$10=$U$7),30,IF(AND($Q$63=3,$U$8=$U$10,$U$10=$U$7),20,""))))</f>
        <v>30</v>
      </c>
      <c r="AB7" s="58">
        <f>IF(AA7="","",IF(AND($Q$63=1,$U$8=$U$10,$U$10=$U$7,$U$10=$U$14),120,IF(AND($Q$63=2,$U$8=$U$10,$U$10=$U$7,$U$10=$U$14),60,IF(AND($Q$63=3,$U$8=$U$10,$U$10=$U$7,$U$10=$U$14),40,""))))</f>
        <v>60</v>
      </c>
      <c r="AC7" s="58">
        <f>IF(AB7="","",IF(AND($Q$63=1,$U$8=$U$10,$U$10=$U$7,$U$10=$U$14,$U$22=$U$14),120,IF(AND($Q$63=2,$U$8=$U$10,$U$10=$U$7,$U$10=$U$14,$U$22=$U$14),60,IF(AND($Q$63=3,$U$8=$U$10,$U$10=$U$7,$U$10=$U$14,$U$22=$U$14),40,""))))</f>
        <v>60</v>
      </c>
      <c r="AD7" s="58">
        <f>IF(AC7="","",IF(AND($Q$63=1,$U$8=$U$10,$U$10=$U$7,$U$10=$U$14,$U$22=$U$14,$U$38=$U$22),120,IF(AND($Q$63=2,$U$8=$U$10,$U$10=$U$7,$U$10=$U$14,$U$22=$U$14,$U$38=$U$22),60,IF(AND($Q$63=3,$U$8=$U$10,$U$10=$U$7,$U$10=$U$14,$U$22=$U$14,$U$38=$U$22),40,""))))</f>
      </c>
      <c r="AE7" s="398">
        <f aca="true" t="shared" si="1" ref="AE7:AE38">IF($C$2="B turnir",SUM(Y7:AD7)*0.1,SUM(Y7:AD7))</f>
        <v>180</v>
      </c>
      <c r="AF7" s="399"/>
      <c r="AK7" s="391"/>
      <c r="AL7" s="391"/>
      <c r="AM7" s="391"/>
      <c r="AN7" s="391"/>
      <c r="AO7" s="391"/>
      <c r="AP7" s="391"/>
      <c r="AQ7" s="391"/>
      <c r="AR7" s="391"/>
      <c r="AS7" s="391"/>
      <c r="AT7" s="391"/>
      <c r="AU7" s="391"/>
      <c r="BK7" s="362"/>
    </row>
    <row r="8" spans="1:32" s="83" customFormat="1" ht="9" customHeight="1">
      <c r="A8" s="89"/>
      <c r="B8" s="90"/>
      <c r="C8" s="90"/>
      <c r="D8" s="90"/>
      <c r="E8" s="91"/>
      <c r="F8" s="91"/>
      <c r="G8" s="92"/>
      <c r="H8" s="93" t="s">
        <v>23</v>
      </c>
      <c r="I8" s="94" t="s">
        <v>24</v>
      </c>
      <c r="J8" s="95" t="str">
        <f>UPPER(IF(OR(I8="a",I8="as"),E7,IF(OR(I8="b",I8="bs"),E9,)))</f>
        <v>OPARENOVIČ</v>
      </c>
      <c r="K8" s="394">
        <f>IF(OR(I8="a",I8="as"),I7,IF(OR(I8="b",I8="bs"),I9,))</f>
        <v>40</v>
      </c>
      <c r="L8" s="76"/>
      <c r="M8" s="77"/>
      <c r="N8" s="78"/>
      <c r="O8" s="78"/>
      <c r="P8" s="80"/>
      <c r="Q8" s="80"/>
      <c r="R8" s="82"/>
      <c r="T8" s="400" t="str">
        <f>'[1]glavni sodniki'!P22</f>
        <v> </v>
      </c>
      <c r="U8" s="396">
        <f>IF(OR(I8="a",I8="as"),C7,IF(OR(I8="b",I8="bs"),C9,""))</f>
        <v>6453</v>
      </c>
      <c r="V8" s="98">
        <v>2</v>
      </c>
      <c r="W8" s="99" t="str">
        <f>UPPER(IF($D9="","",VLOOKUP($D9,'[1]ž glavni turnir žrebna lista'!$A$7:$R$38,3)))</f>
        <v>JANČIČ</v>
      </c>
      <c r="X8" s="99" t="str">
        <f>PROPER(IF($D9="","",VLOOKUP($D9,'[1]ž glavni turnir žrebna lista'!$A$7:$R$38,4)))</f>
        <v>Maša</v>
      </c>
      <c r="Y8" s="100">
        <f t="shared" si="0"/>
        <v>15</v>
      </c>
      <c r="Z8" s="100">
        <f>IF(Y8="","",IF(AND($Q$63=1,U9=$U$8),30,IF(AND($Q$63=2,U9=$U$8),15,IF(AND($Q$63=3,U9=$U$8),10,""))))</f>
      </c>
      <c r="AA8" s="100">
        <f>IF(Z8="","",IF(AND($Q$63=1,U9=$U$10,$U$10=$U$8),60,IF(AND($Q$63=2,U9=$U$10,$U$10=$U$8),30,IF(AND($Q$63=3,U9=$U$10,$U$10=$U$8),20,""))))</f>
      </c>
      <c r="AB8" s="100">
        <f>IF(AA8="","",IF(AND($Q$63=1,$U$8=U9,$U$8=$U$10,$U$10=$U$14),120,IF(AND($Q$63=2,$U$8=U9,$U$8=$U$10,$U$10=$U$14),60,IF(AND($Q$63=3,$U$8=U9,$U$8=$U$10,$U$10=$U$14),40,""))))</f>
      </c>
      <c r="AC8" s="100">
        <f>IF(AB8="","",IF(AND($Q$63=1,$U$8=$U$10,$U$10=$U$9,$U$10=$U$14,$U$22=$U$14),120,IF(AND($Q$63=2,$U$8=$U$10,$U$10=$U$9,$U$10=$U$14,$U$22=$U$14),60,IF(AND($Q$63=3,$U$8=$U$10,$U$10=$U$9,$U$10=$U$14,$U$22=$U$14),40,""))))</f>
      </c>
      <c r="AD8" s="100">
        <f>IF(AC8="","",IF(AND($Q$63=1,$U$8=$U$10,$U$10=$U$9,$U$10=$U$14,$U$22=$U$14,$U$38=$U$22),120,IF(AND($Q$63=2,$U$8=$U$10,$U$10=$U$9,$U$10=$U$14,$U$22=$U$14,$U$38=$U$22),60,IF(AND($Q$63=3,$U$8=$U$10,$U$10=$U$9,$U$10=$U$14,$U$22=$U$14,$U$38=$U$22),40,""))))</f>
      </c>
      <c r="AE8" s="401">
        <f t="shared" si="1"/>
        <v>15</v>
      </c>
      <c r="AF8" s="399"/>
    </row>
    <row r="9" spans="1:32" s="83" customFormat="1" ht="9" customHeight="1">
      <c r="A9" s="89">
        <v>2</v>
      </c>
      <c r="B9" s="103" t="str">
        <f>IF($D9="","",VLOOKUP($D9,'[1]ž glavni turnir žrebna lista'!$A$7:$R$38,17))</f>
        <v>D</v>
      </c>
      <c r="C9" s="103">
        <f>IF($D9="","",VLOOKUP($D9,'[1]ž glavni turnir žrebna lista'!$A$7:$R$38,2))</f>
        <v>6240</v>
      </c>
      <c r="D9" s="74">
        <v>12</v>
      </c>
      <c r="E9" s="104" t="str">
        <f>UPPER(IF($D9="","",VLOOKUP($D9,'[1]ž glavni turnir žrebna lista'!$A$7:$R$38,3)))</f>
        <v>JANČIČ</v>
      </c>
      <c r="F9" s="104" t="str">
        <f>PROPER(IF($D9="","",VLOOKUP($D9,'[1]ž glavni turnir žrebna lista'!$A$7:$R$38,4)))</f>
        <v>Maša</v>
      </c>
      <c r="G9" s="104"/>
      <c r="H9" s="104" t="str">
        <f>IF($D9="","",VLOOKUP($D9,'[1]ž glavni turnir žrebna lista'!$A$7:$R$38,5))</f>
        <v>TOPTE</v>
      </c>
      <c r="I9" s="402">
        <f>IF($D9="","",VLOOKUP($D9,'[1]ž glavni turnir žrebna lista'!$A$7:$R$38,14))</f>
        <v>20</v>
      </c>
      <c r="J9" s="76" t="s">
        <v>97</v>
      </c>
      <c r="K9" s="107"/>
      <c r="L9" s="76"/>
      <c r="M9" s="77"/>
      <c r="N9" s="78"/>
      <c r="O9" s="78"/>
      <c r="P9" s="80"/>
      <c r="Q9" s="80"/>
      <c r="R9" s="82"/>
      <c r="T9" s="400" t="str">
        <f>'[1]glavni sodniki'!P23</f>
        <v> </v>
      </c>
      <c r="U9" s="396">
        <f>IF($D9="","",VLOOKUP($D9,'[1]ž glavni turnir žrebna lista'!$A$7:$R$38,2))</f>
        <v>6240</v>
      </c>
      <c r="V9" s="56">
        <v>3</v>
      </c>
      <c r="W9" s="56" t="str">
        <f>UPPER(IF($D11="","",VLOOKUP($D11,'[1]ž glavni turnir žrebna lista'!$A$7:$R$38,3)))</f>
        <v>KASTELIC</v>
      </c>
      <c r="X9" s="56" t="str">
        <f>PROPER(IF($D11="","",VLOOKUP($D11,'[1]ž glavni turnir žrebna lista'!$A$7:$R$38,4)))</f>
        <v>Žoel</v>
      </c>
      <c r="Y9" s="58">
        <f t="shared" si="0"/>
        <v>15</v>
      </c>
      <c r="Z9" s="58">
        <f>IF(Y9="","",IF(AND($Q$63=1,U11=U12),30,IF(AND($Q$63=2,U11=U12),15,IF(AND($Q$63=3,U11=U12),10,""))))</f>
      </c>
      <c r="AA9" s="58">
        <f>IF(Z9="","",IF(AND($Q$63=1,$U$10=U11,U11=U12),60,IF(AND($Q$63=2,$U$10=U11,U11=U12),30,IF(AND($Q$63=3,$U$10=U11,U11=U12),20,""))))</f>
      </c>
      <c r="AB9" s="58">
        <f>IF(AA9="","",IF(AND($Q$63=1,$U$14=$U$10,$U$10=U12,U11=U12),120,IF(AND($Q$63=2,$U$10=$U$14,$U$10=U12,U12=U11),60,IF(AND($Q$63=3,$U$10=$U$14,$U$10=U12,U12=U11),40,""))))</f>
      </c>
      <c r="AC9" s="58">
        <f>IF(AB9="","",IF(AND($Q$63=1,$U$11=$U$12,$U$10=$U$12,$U$10=$U$14,$U$22=$U$14),120,IF(AND($Q$63=2,$U$11=$U$12,$U$12=$U$10,$U$10=$U$14,$U$22=$U$14),60,IF(AND($Q$63=3,$U$11=$U$12,$U$12=$U$10,$U$10=$U$14,$U$22=$U$14),40,""))))</f>
      </c>
      <c r="AD9" s="58">
        <f>IF(AC9="","",IF(AND($Q$63=1,$U$11=$U$12,$U$10=$U$12,$U$10=$U$14,$U$22=$U$14,$U$38=$U$22),120,IF(AND($Q$63=2,$U$11=$U$12,$U$12=$U$10,$U$10=$U$14,$U$22=$U$14,$U$38=$U$22),60,IF(AND($Q$63=3,$U$11=$U$12,$U$12=$U$10,$U$10=$U$14,$U$22=$U$14,$U$38=$U$22),40,""))))</f>
      </c>
      <c r="AE9" s="398">
        <f t="shared" si="1"/>
        <v>15</v>
      </c>
      <c r="AF9" s="399"/>
    </row>
    <row r="10" spans="1:32" s="83" customFormat="1" ht="9" customHeight="1">
      <c r="A10" s="89"/>
      <c r="B10" s="90"/>
      <c r="C10" s="90"/>
      <c r="D10" s="109"/>
      <c r="E10" s="91"/>
      <c r="F10" s="91"/>
      <c r="G10" s="92"/>
      <c r="H10" s="91"/>
      <c r="I10" s="110"/>
      <c r="J10" s="93" t="s">
        <v>23</v>
      </c>
      <c r="K10" s="111" t="s">
        <v>24</v>
      </c>
      <c r="L10" s="95" t="str">
        <f>UPPER(IF(OR(K10="a",K10="as"),J8,IF(OR(K10="b",K10="bs"),J12,)))</f>
        <v>OPARENOVIČ</v>
      </c>
      <c r="M10" s="394">
        <f>IF(OR(K10="a",K10="as"),K8,IF(OR(K10="b",K10="bs"),K12,))</f>
        <v>40</v>
      </c>
      <c r="N10" s="113"/>
      <c r="O10" s="285"/>
      <c r="P10" s="80"/>
      <c r="Q10" s="80"/>
      <c r="R10" s="82"/>
      <c r="T10" s="400" t="str">
        <f>'[1]glavni sodniki'!P24</f>
        <v> </v>
      </c>
      <c r="U10" s="396">
        <f>IF(OR(K10="a",K10="as"),$U$8,IF(OR(K10="b",K10="bs"),U12,""))</f>
        <v>6453</v>
      </c>
      <c r="V10" s="98">
        <v>4</v>
      </c>
      <c r="W10" s="98" t="str">
        <f>UPPER(IF($D13="","",VLOOKUP($D13,'[1]ž glavni turnir žrebna lista'!$A$7:$R$38,3)))</f>
        <v>LAPAJNE</v>
      </c>
      <c r="X10" s="98" t="str">
        <f>PROPER(IF($D13="","",VLOOKUP($D13,'[1]ž glavni turnir žrebna lista'!$A$7:$R$38,4)))</f>
        <v>Žana</v>
      </c>
      <c r="Y10" s="100">
        <f t="shared" si="0"/>
        <v>15</v>
      </c>
      <c r="Z10" s="100">
        <f>IF(Y10="","",IF(AND($Q$63=1,U12=U13),30,IF(AND($Q$63=2,U12=U13),15,IF(AND($Q$63=3,U12=U13),10,""))))</f>
        <v>15</v>
      </c>
      <c r="AA10" s="100">
        <f>IF(Z10="","",IF(AND($Q$63=1,$U$10=U12,U12=U13),60,IF(AND($Q$63=2,$U$10=U12,U12=U13),30,IF(AND($Q$63=3,$U$10=U12,U12=U13),20,""))))</f>
      </c>
      <c r="AB10" s="100">
        <f>IF(AA10="","",IF(AND($Q$63=1,$U$14=$U$10,$U$10=U12,U12=U13),120,IF(AND($Q$63=2,$U$14=$U$10,$U$10=U12,U13=U12),60,IF(AND($Q$63=3,$U$14=$U$10,$U$10=U12,U13=U12),40,""))))</f>
      </c>
      <c r="AC10" s="100">
        <f>IF(AB10="","",IF(AND($Q$63=1,$U$13=$U$12,$U$10=$U$12,$U$10=$U$14,$U$22=$U$14),120,IF(AND($Q$63=2,$U$13=$U$12,$U$12=$U$10,$U$10=$U$14,$U$22=$U$14),60,IF(AND($Q$63=3,$U$13=$U$12,$U$12=$U$10,$U$10=$U$14,$U$22=$U$14),40,""))))</f>
      </c>
      <c r="AD10" s="100">
        <f>IF(AC10="","",IF(AND($Q$63=1,$U$13=$U$12,$U$10=$U$12,$U$10=$U$14,$U$22=$U$14,$U$38=$U$22),120,IF(AND($Q$63=2,$U$13=$U$12,$U$12=$U$10,$U$10=$U$14,$U$22=$U$14,$U$38=$U$22),60,IF(AND($Q$63=3,$U$13=$U$12,$U$12=$U$10,$U$10=$U$14,$U$22=$U$14,$U$38=$U$22),40,""))))</f>
      </c>
      <c r="AE10" s="401">
        <f t="shared" si="1"/>
        <v>30</v>
      </c>
      <c r="AF10" s="399"/>
    </row>
    <row r="11" spans="1:32" s="83" customFormat="1" ht="9" customHeight="1">
      <c r="A11" s="89">
        <v>3</v>
      </c>
      <c r="B11" s="103" t="str">
        <f>IF($D11="","",VLOOKUP($D11,'[1]ž glavni turnir žrebna lista'!$A$7:$R$38,17))</f>
        <v>D</v>
      </c>
      <c r="C11" s="103">
        <f>IF($D11="","",VLOOKUP($D11,'[1]ž glavni turnir žrebna lista'!$A$7:$R$38,2))</f>
        <v>7437</v>
      </c>
      <c r="D11" s="74">
        <v>19</v>
      </c>
      <c r="E11" s="104" t="str">
        <f>UPPER(IF($D11="","",VLOOKUP($D11,'[1]ž glavni turnir žrebna lista'!$A$7:$R$38,3)))</f>
        <v>KASTELIC</v>
      </c>
      <c r="F11" s="104" t="str">
        <f>PROPER(IF($D11="","",VLOOKUP($D11,'[1]ž glavni turnir žrebna lista'!$A$7:$R$38,4)))</f>
        <v>Žoel</v>
      </c>
      <c r="G11" s="104"/>
      <c r="H11" s="104" t="str">
        <f>IF($D11="","",VLOOKUP($D11,'[1]ž glavni turnir žrebna lista'!$A$7:$R$38,5))</f>
        <v>OL-LJ</v>
      </c>
      <c r="I11" s="394">
        <f>IF($D11="","",VLOOKUP($D11,'[1]ž glavni turnir žrebna lista'!$A$7:$R$38,14))</f>
        <v>20</v>
      </c>
      <c r="J11" s="76"/>
      <c r="K11" s="114"/>
      <c r="L11" s="76" t="s">
        <v>127</v>
      </c>
      <c r="M11" s="345"/>
      <c r="N11" s="113"/>
      <c r="O11" s="285"/>
      <c r="P11" s="80"/>
      <c r="Q11" s="80"/>
      <c r="R11" s="82"/>
      <c r="T11" s="400" t="str">
        <f>'[1]glavni sodniki'!P25</f>
        <v> </v>
      </c>
      <c r="U11" s="396">
        <f>IF($D11="","",VLOOKUP($D11,'[1]ž glavni turnir žrebna lista'!$A$7:$R$38,2))</f>
        <v>7437</v>
      </c>
      <c r="V11" s="56">
        <v>5</v>
      </c>
      <c r="W11" s="56" t="str">
        <f>UPPER(IF($D15="","",VLOOKUP($D15,'[1]ž glavni turnir žrebna lista'!$A$7:$R$38,3)))</f>
        <v>KOŠNIK</v>
      </c>
      <c r="X11" s="56" t="str">
        <f>PROPER(IF($D15="","",VLOOKUP($D15,'[1]ž glavni turnir žrebna lista'!$A$7:$R$38,4)))</f>
        <v>Karin</v>
      </c>
      <c r="Y11" s="58">
        <f t="shared" si="0"/>
        <v>15</v>
      </c>
      <c r="Z11" s="58">
        <f>IF(Y11="","",IF(AND($Q$63=1,U15=U16),30,IF(AND($Q$63=2,U15=U16),15,IF(AND($Q$63=3,U15=U16),10,""))))</f>
      </c>
      <c r="AA11" s="58">
        <f>IF(Z11="","",IF(AND($Q$63=1,U15=U16,U16=U18),60,IF(AND($Q$63=2,U15=U16,U16=U18),30,IF(AND($Q$63=3,U15=U16,U16=U18),20,""))))</f>
      </c>
      <c r="AB11" s="58">
        <f>IF(AA11="","",IF(AND($Q$63=1,U15=$U$14,U15=U16,U16=U18),120,IF(AND($Q$63=2,U15=$U$14,U15=U16,U16=U18),60,IF(AND($Q$63=3,U15=$U$14,U15=U16,U16=U18),40,""))))</f>
      </c>
      <c r="AC11" s="58">
        <f>IF(AB11="","",IF(AND($Q$63=1,$U$15=$U$16,$U$16=$U$18,$U$18=$U$14,$U$22=$U$14),120,IF(AND($Q$63=2,$U$15=$U$16,$U$16=$U$18,$U$18=$U$14,$U$22=$U$14),60,IF(AND($Q$63=3,$U$15=$U$16,$U$16=$U$18,$U$18=$U$14,$U$22=$U$14),40,""))))</f>
      </c>
      <c r="AD11" s="58">
        <f>IF(AC11="","",IF(AND($Q$63=1,$U$15=$U$16,$U$16=$U$18,$U$18=$U$14,$U$22=$U$14,$U$38=$U$22),120,IF(AND($Q$63=2,$U$15=$U$16,$U$16=$U$18,$U$18=$U$14,$U$22=$U$14,$U$38=$U$22),60,IF(AND($Q$63=3,$U$15=$U$16,$U$16=$U$18,$U$18=$U$14,$U$22=$U$14,$U$38=$U$22),40,""))))</f>
      </c>
      <c r="AE11" s="398">
        <f t="shared" si="1"/>
        <v>15</v>
      </c>
      <c r="AF11" s="399"/>
    </row>
    <row r="12" spans="1:32" s="83" customFormat="1" ht="9" customHeight="1">
      <c r="A12" s="89"/>
      <c r="B12" s="90"/>
      <c r="C12" s="90"/>
      <c r="D12" s="109"/>
      <c r="E12" s="91"/>
      <c r="F12" s="91"/>
      <c r="G12" s="92"/>
      <c r="H12" s="93" t="s">
        <v>23</v>
      </c>
      <c r="I12" s="94" t="s">
        <v>26</v>
      </c>
      <c r="J12" s="95" t="str">
        <f>UPPER(IF(OR(I12="a",I12="as"),E11,IF(OR(I12="b",I12="bs"),E13,)))</f>
        <v>LAPAJNE</v>
      </c>
      <c r="K12" s="402">
        <f>IF(OR(I12="a",I12="as"),I11,IF(OR(I12="b",I12="bs"),I13,))</f>
        <v>20</v>
      </c>
      <c r="L12" s="76"/>
      <c r="M12" s="345"/>
      <c r="N12" s="113"/>
      <c r="O12" s="285"/>
      <c r="P12" s="80"/>
      <c r="Q12" s="80"/>
      <c r="R12" s="82"/>
      <c r="T12" s="400" t="str">
        <f>'[1]glavni sodniki'!P26</f>
        <v> </v>
      </c>
      <c r="U12" s="396">
        <f>IF(OR(I12="a",I12="as"),C11,IF(OR(I12="b",I12="bs"),C13,""))</f>
        <v>6819</v>
      </c>
      <c r="V12" s="98">
        <v>6</v>
      </c>
      <c r="W12" s="98" t="str">
        <f>UPPER(IF($D17="","",VLOOKUP($D17,'[1]ž glavni turnir žrebna lista'!$A$7:$R$38,3)))</f>
        <v>BURJA</v>
      </c>
      <c r="X12" s="98" t="str">
        <f>PROPER(IF($D17="","",VLOOKUP($D17,'[1]ž glavni turnir žrebna lista'!$A$7:$R$38,4)))</f>
        <v>Žana</v>
      </c>
      <c r="Y12" s="100">
        <f t="shared" si="0"/>
        <v>15</v>
      </c>
      <c r="Z12" s="100">
        <f>IF(Y12="","",IF(AND($Q$63=1,U16=U17),30,IF(AND($Q$63=2,U16=U17),15,IF(AND($Q$63=3,U16=U17),10,""))))</f>
        <v>15</v>
      </c>
      <c r="AA12" s="100">
        <f>IF(Z12="","",IF(AND($Q$63=1,U16=U17,U17=U18),60,IF(AND($Q$63=2,U16=U17,U17=U18),30,IF(AND($Q$63=3,U16=U17,U17=U18),20,""))))</f>
      </c>
      <c r="AB12" s="100">
        <f>IF(AA12="","",IF(AND($Q$63=1,U16=$U$14,U16=U17,U17=U18),120,IF(AND($Q$63=2,U16=$U$14,U16=U17,U17=U18),60,IF(AND($Q$63=3,U16=$U$14,U16=U17,U17=U18),40,""))))</f>
      </c>
      <c r="AC12" s="100">
        <f>IF(AB12="","",IF(AND($Q$63=1,$U$17=$U$16,$U$16=$U$18,$U$18=$U$14,$U$22=$U$14),120,IF(AND($Q$63=2,$U$17=$U$16,$U$16=$U$18,$U$18=$U$14,$U$22=$U$14),60,IF(AND($Q$63=3,$U$17=$U$16,$U$16=$U$18,$U$18=$U$14,$U$22=$U$14),40,""))))</f>
      </c>
      <c r="AD12" s="100">
        <f>IF(AC12="","",IF(AND($Q$63=1,$U$17=$U$16,$U$16=$U$18,$U$18=$U$14,$U$22=$U$14,$U$38=$U$22),120,IF(AND($Q$63=2,$U$17=$U$16,$U$16=$U$18,$U$18=$U$14,$U$22=$U$14,$U$38=$U$22),60,IF(AND($Q$63=3,$U$17=$U$16,$U$16=$U$18,$U$18=$U$14,$U$22=$U$14,$U$38=$U$22),40,""))))</f>
      </c>
      <c r="AE12" s="401">
        <f t="shared" si="1"/>
        <v>30</v>
      </c>
      <c r="AF12" s="399"/>
    </row>
    <row r="13" spans="1:32" s="83" customFormat="1" ht="9" customHeight="1">
      <c r="A13" s="89">
        <v>4</v>
      </c>
      <c r="B13" s="103" t="str">
        <f>IF($D13="","",VLOOKUP($D13,'[1]ž glavni turnir žrebna lista'!$A$7:$R$38,17))</f>
        <v>D</v>
      </c>
      <c r="C13" s="103">
        <f>IF($D13="","",VLOOKUP($D13,'[1]ž glavni turnir žrebna lista'!$A$7:$R$38,2))</f>
        <v>6819</v>
      </c>
      <c r="D13" s="74">
        <v>14</v>
      </c>
      <c r="E13" s="104" t="str">
        <f>UPPER(IF($D13="","",VLOOKUP($D13,'[1]ž glavni turnir žrebna lista'!$A$7:$R$38,3)))</f>
        <v>LAPAJNE</v>
      </c>
      <c r="F13" s="104" t="str">
        <f>PROPER(IF($D13="","",VLOOKUP($D13,'[1]ž glavni turnir žrebna lista'!$A$7:$R$38,4)))</f>
        <v>Žana</v>
      </c>
      <c r="G13" s="104"/>
      <c r="H13" s="104" t="str">
        <f>IF($D13="","",VLOOKUP($D13,'[1]ž glavni turnir žrebna lista'!$A$7:$R$38,5))</f>
        <v>IDRIJ</v>
      </c>
      <c r="I13" s="402">
        <f>IF($D13="","",VLOOKUP($D13,'[1]ž glavni turnir žrebna lista'!$A$7:$R$38,14))</f>
        <v>20</v>
      </c>
      <c r="J13" s="76" t="s">
        <v>125</v>
      </c>
      <c r="K13" s="119"/>
      <c r="L13" s="76"/>
      <c r="M13" s="345"/>
      <c r="N13" s="113"/>
      <c r="O13" s="285"/>
      <c r="P13" s="80"/>
      <c r="Q13" s="80"/>
      <c r="R13" s="82"/>
      <c r="T13" s="400" t="str">
        <f>'[1]glavni sodniki'!P27</f>
        <v> </v>
      </c>
      <c r="U13" s="396">
        <f>IF($D13="","",VLOOKUP($D13,'[1]ž glavni turnir žrebna lista'!$A$7:$R$38,2))</f>
        <v>6819</v>
      </c>
      <c r="V13" s="56">
        <v>7</v>
      </c>
      <c r="W13" s="56" t="str">
        <f>UPPER(IF($D19="","",VLOOKUP($D19,'[1]ž glavni turnir žrebna lista'!$A$7:$R$38,3)))</f>
        <v>TOMIČ EGART</v>
      </c>
      <c r="X13" s="56" t="str">
        <f>PROPER(IF($D19="","",VLOOKUP($D19,'[1]ž glavni turnir žrebna lista'!$A$7:$R$38,4)))</f>
        <v>Žana</v>
      </c>
      <c r="Y13" s="58">
        <f t="shared" si="0"/>
        <v>15</v>
      </c>
      <c r="Z13" s="58">
        <f>IF(Y13="","",IF(AND($Q$63=1,U20=U19),30,IF(AND($Q$63=2,U20=U19),15,IF(AND($Q$63=3,U20=U19),10,""))))</f>
      </c>
      <c r="AA13" s="58">
        <f>IF(Z13="","",IF(AND($Q$63=1,U20=U18,U20=U19),60,IF(AND($Q$63=2,U20=U18,U20=U19),30,IF(AND($Q$63=3,U20=U18,U20=U19),20,""))))</f>
      </c>
      <c r="AB13" s="58">
        <f>IF(AA13="","",IF(AND($Q$63=1,U20=U19,U19=U18,U18=$U$14),120,IF(AND($Q$63=2,U20=U19,U19=U18,U18=$U$14),60,IF(AND($Q$63=3,U20=U19,U19=U18,U18=$U$14),40,""))))</f>
      </c>
      <c r="AC13" s="58">
        <f>IF(AB13="","",IF(AND($Q$63=1,$U$19=$U$20,$U$20=$U$18,$U$18=$U$14,$U$22=$U$14),120,IF(AND($Q$63=2,$U$19=$U$20,$U$20=$U$18,$U$18=$U$14,$U$22=$U$14),60,IF(AND($Q$63=3,$U$19=$U$20,$U$20=$U$18,$U$18=$U$14,$U$22=$U$14),40,""))))</f>
      </c>
      <c r="AD13" s="58">
        <f>IF(AC13="","",IF(AND($Q$63=1,$U$19=$U$20,$U$20=$U$18,$U$18=$U$14,$U$22=$U$14,$U$38=$U$22),120,IF(AND($Q$63=2,$U$19=$U$20,$U$20=$U$18,$U$18=$U$14,$U$22=$U$14,$U$38=$U$22),60,IF(AND($Q$63=3,$U$19=$U$20,$U$20=$U$18,$U$18=$U$14,$U$22=$U$14,$U$38=$U$22),40,""))))</f>
      </c>
      <c r="AE13" s="398">
        <f t="shared" si="1"/>
        <v>15</v>
      </c>
      <c r="AF13" s="399"/>
    </row>
    <row r="14" spans="1:32" s="83" customFormat="1" ht="9" customHeight="1">
      <c r="A14" s="89"/>
      <c r="B14" s="90"/>
      <c r="C14" s="90"/>
      <c r="D14" s="109"/>
      <c r="E14" s="76"/>
      <c r="F14" s="76"/>
      <c r="G14" s="120"/>
      <c r="H14" s="121"/>
      <c r="I14" s="110"/>
      <c r="J14" s="76"/>
      <c r="K14" s="119"/>
      <c r="L14" s="93" t="s">
        <v>23</v>
      </c>
      <c r="M14" s="111" t="s">
        <v>24</v>
      </c>
      <c r="N14" s="95" t="str">
        <f>UPPER(IF(OR(M14="a",M14="as"),L10,IF(OR(M14="b",M14="bs"),L18,)))</f>
        <v>OPARENOVIČ</v>
      </c>
      <c r="O14" s="394">
        <f>IF(OR(M14="a",M14="as"),M10,IF(OR(M14="b",M14="bs"),M18,))</f>
        <v>40</v>
      </c>
      <c r="P14" s="80"/>
      <c r="Q14" s="80"/>
      <c r="R14" s="82"/>
      <c r="T14" s="400" t="str">
        <f>'[1]glavni sodniki'!P28</f>
        <v> </v>
      </c>
      <c r="U14" s="396">
        <f>IF(OR(M14="a",M14="as"),$U$10,IF(OR(M14="b",M14="bs"),U18,""))</f>
        <v>6453</v>
      </c>
      <c r="V14" s="98">
        <v>8</v>
      </c>
      <c r="W14" s="98" t="str">
        <f>UPPER(IF($D21="","",VLOOKUP($D21,'[1]ž glavni turnir žrebna lista'!$A$7:$R$38,3)))</f>
        <v>REJC</v>
      </c>
      <c r="X14" s="98" t="str">
        <f>PROPER(IF($D21="","",VLOOKUP($D21,'[1]ž glavni turnir žrebna lista'!$A$7:$R$38,4)))</f>
        <v>Simona</v>
      </c>
      <c r="Y14" s="100">
        <f t="shared" si="0"/>
        <v>15</v>
      </c>
      <c r="Z14" s="100">
        <f>IF(Y14="","",IF(AND($Q$63=1,U21=U20),30,IF(AND($Q$63=2,U21=U20),15,IF(AND($Q$63=3,U21=U20),10,""))))</f>
        <v>15</v>
      </c>
      <c r="AA14" s="100">
        <f>IF(Z14="","",IF(AND($Q$63=1,U20=U18,U21=U20),60,IF(AND($Q$63=2,U20=U18,U21=U20),30,IF(AND($Q$63=3,U20=U18,U21=U20),20,""))))</f>
        <v>30</v>
      </c>
      <c r="AB14" s="100">
        <f>IF(AA14="","",IF(AND($Q$63=1,U21=U20,U20=U18,U18=$U$14),120,IF(AND($Q$63=2,U21=U20,U20=U18,U18=$U$14),60,IF(AND($Q$63=3,U21=U20,U20=U18,U18=$U$14),40,""))))</f>
      </c>
      <c r="AC14" s="100">
        <f>IF(AB14="","",IF(AND($Q$63=1,$U$21=$U$20,$U$20=$U$18,$U$18=$U$14,$U$22=$U$14),120,IF(AND($Q$63=2,$U$21=$U$20,$U$20=$U$18,$U$18=$U$14,$U$22=$U$14),60,IF(AND($Q$63=3,$U$21=$U$20,$U$20=$U$18,$U$18=$U$14,$U$22=$U$14),40,""))))</f>
      </c>
      <c r="AD14" s="100">
        <f>IF(AC14="","",IF(AND($Q$63=1,$U$21=$U$20,$U$20=$U$18,$U$18=$U$14,$U$22=$U$14,$U$38=$U$22),120,IF(AND($Q$63=2,$U$21=$U$20,$U$20=$U$18,$U$18=$U$14,$U$22=$U$14,$U$38=$U$22),60,IF(AND($Q$63=3,$U$21=$U$20,$U$20=$U$18,$U$18=$U$14,$U$22=$U$14,$U$38=$U$22),40,""))))</f>
      </c>
      <c r="AE14" s="401">
        <f t="shared" si="1"/>
        <v>60</v>
      </c>
      <c r="AF14" s="399"/>
    </row>
    <row r="15" spans="1:32" s="83" customFormat="1" ht="9" customHeight="1">
      <c r="A15" s="89">
        <v>5</v>
      </c>
      <c r="B15" s="103" t="str">
        <f>IF($D15="","",VLOOKUP($D15,'[1]ž glavni turnir žrebna lista'!$A$7:$R$38,17))</f>
        <v>D</v>
      </c>
      <c r="C15" s="103">
        <f>IF($D15="","",VLOOKUP($D15,'[1]ž glavni turnir žrebna lista'!$A$7:$R$38,2))</f>
        <v>6282</v>
      </c>
      <c r="D15" s="74">
        <v>9</v>
      </c>
      <c r="E15" s="104" t="str">
        <f>UPPER(IF($D15="","",VLOOKUP($D15,'[1]ž glavni turnir žrebna lista'!$A$7:$R$38,3)))</f>
        <v>KOŠNIK</v>
      </c>
      <c r="F15" s="104" t="str">
        <f>PROPER(IF($D15="","",VLOOKUP($D15,'[1]ž glavni turnir žrebna lista'!$A$7:$R$38,4)))</f>
        <v>Karin</v>
      </c>
      <c r="G15" s="104"/>
      <c r="H15" s="104" t="str">
        <f>IF($D15="","",VLOOKUP($D15,'[1]ž glavni turnir žrebna lista'!$A$7:$R$38,5))</f>
        <v>TR-KR</v>
      </c>
      <c r="I15" s="394">
        <f>IF($D15="","",VLOOKUP($D15,'[1]ž glavni turnir žrebna lista'!$A$7:$R$38,14))</f>
        <v>20</v>
      </c>
      <c r="J15" s="76"/>
      <c r="K15" s="119"/>
      <c r="L15" s="76"/>
      <c r="M15" s="345"/>
      <c r="N15" s="76" t="s">
        <v>95</v>
      </c>
      <c r="O15" s="346"/>
      <c r="P15" s="78"/>
      <c r="Q15" s="78"/>
      <c r="R15" s="82"/>
      <c r="T15" s="400" t="str">
        <f>'[1]glavni sodniki'!P29</f>
        <v> </v>
      </c>
      <c r="U15" s="396">
        <f>IF($D15="","",VLOOKUP($D15,'[1]ž glavni turnir žrebna lista'!$A$7:$R$38,2))</f>
        <v>6282</v>
      </c>
      <c r="V15" s="56">
        <v>9</v>
      </c>
      <c r="W15" s="56" t="str">
        <f>UPPER(IF($D23="","",VLOOKUP($D23,'[1]ž glavni turnir žrebna lista'!$A$7:$R$38,3)))</f>
        <v>JERŠE</v>
      </c>
      <c r="X15" s="56" t="str">
        <f>PROPER(IF($D23="","",VLOOKUP($D23,'[1]ž glavni turnir žrebna lista'!$A$7:$R$38,4)))</f>
        <v>Tjaša</v>
      </c>
      <c r="Y15" s="58">
        <f t="shared" si="0"/>
        <v>15</v>
      </c>
      <c r="Z15" s="58">
        <f>IF(Y15="","",IF(AND($Q$63=1,U24=U23),30,IF(AND($Q$63=2,U24=U23),15,IF(AND($Q$63=3,U24=U23),10,""))))</f>
        <v>15</v>
      </c>
      <c r="AA15" s="58">
        <f>IF(Z15="","",IF(AND($Q$63=1,U26=U24,U24=U23),60,IF(AND($Q$63=2,U26=U24,U24=U23),30,IF(AND($Q$63=3,U26=U24,U24=U23),20,""))))</f>
        <v>30</v>
      </c>
      <c r="AB15" s="58">
        <f>IF(AA15="","",IF(AND($Q$63=1,U23=U24,U24=U26,U26=U30),120,IF(AND($Q$63=2,U23=U24,U24=U26,U26=U30),60,IF(AND($Q$63=3,U23=U24,U24=U26,U26=U30),40,""))))</f>
        <v>60</v>
      </c>
      <c r="AC15" s="58">
        <f>IF(AB15="","",IF(AND($Q$63=1,$U$23=$U$24,$U$24=$U$26,$U$26=$U$30,$U$30=$U$22),120,IF(AND($Q$63=2,$U$23=$U$24,$U$24=$U$26,$U$26=$U$30,$U$30=$U$22),60,IF(AND($Q$63=3,$U$23=$U$24,$U$24=$U$26,$U$26=$U$30,$U$30=$U$22),40,""))))</f>
      </c>
      <c r="AD15" s="58">
        <f>IF(AC15="","",IF(AND($Q$63=1,$U$23=$U$24,$U$24=$U$26,$U$26=$U$30,$U$30=$U$22,$U$38=$U$22),120,IF(AND($Q$63=2,$U$23=$U$24,$U$24=$U$26,$U$26=$U$30,$U$30=$U$22,$U$38=$U$22),60,IF(AND($Q$63=3,$U$23=$U$24,$U$24=$U$26,$U$26=$U$30,$U$30=$U$22,$U$38=$U$22),40,""))))</f>
      </c>
      <c r="AE15" s="398">
        <f t="shared" si="1"/>
        <v>120</v>
      </c>
      <c r="AF15" s="399"/>
    </row>
    <row r="16" spans="1:32" s="83" customFormat="1" ht="9" customHeight="1" thickBot="1">
      <c r="A16" s="89"/>
      <c r="B16" s="90"/>
      <c r="C16" s="90"/>
      <c r="D16" s="109"/>
      <c r="E16" s="91"/>
      <c r="F16" s="91"/>
      <c r="G16" s="92"/>
      <c r="H16" s="93" t="s">
        <v>23</v>
      </c>
      <c r="I16" s="94" t="s">
        <v>26</v>
      </c>
      <c r="J16" s="95" t="str">
        <f>UPPER(IF(OR(I16="a",I16="as"),E15,IF(OR(I16="b",I16="bs"),E17,)))</f>
        <v>BURJA</v>
      </c>
      <c r="K16" s="394">
        <f>IF(OR(I16="a",I16="as"),I15,IF(OR(I16="b",I16="bs"),I17,))</f>
        <v>10</v>
      </c>
      <c r="L16" s="76"/>
      <c r="M16" s="345"/>
      <c r="N16" s="78"/>
      <c r="O16" s="346"/>
      <c r="P16" s="78"/>
      <c r="Q16" s="78"/>
      <c r="R16" s="82"/>
      <c r="T16" s="403" t="str">
        <f>'[1]glavni sodniki'!P30</f>
        <v>Brez sodnika</v>
      </c>
      <c r="U16" s="396">
        <f>IF(OR(I16="a",I16="as"),C15,IF(OR(I16="b",I16="bs"),C17,""))</f>
        <v>6491</v>
      </c>
      <c r="V16" s="98">
        <v>10</v>
      </c>
      <c r="W16" s="98" t="str">
        <f>UPPER(IF($D25="","",VLOOKUP($D25,'[1]ž glavni turnir žrebna lista'!$A$7:$R$38,3)))</f>
        <v>MORI</v>
      </c>
      <c r="X16" s="98" t="str">
        <f>PROPER(IF($D25="","",VLOOKUP($D25,'[1]ž glavni turnir žrebna lista'!$A$7:$R$38,4)))</f>
        <v>Maša</v>
      </c>
      <c r="Y16" s="100">
        <f t="shared" si="0"/>
        <v>15</v>
      </c>
      <c r="Z16" s="100">
        <f>IF(Y16="","",IF(AND($Q$63=1,U25=U24),30,IF(AND($Q$63=2,U25=U24),15,IF(AND($Q$63=3,U25=U24),10,""))))</f>
      </c>
      <c r="AA16" s="100">
        <f>IF(Z16="","",IF(AND($Q$63=1,U26=U25,U25=U24),60,IF(AND($Q$63=2,U26=U25,U25=U24),30,IF(AND($Q$63=3,U26=U25,U25=U24),20,""))))</f>
      </c>
      <c r="AB16" s="100">
        <f>IF(AA16="","",IF(AND($Q$63=1,U24=U25,U25=U26,U26=U30),120,IF(AND($Q$63=2,U24=U25,U25=U26,U26=U30),60,IF(AND($Q$63=3,U24=U25,U25=U26,U26=U30),40,""))))</f>
      </c>
      <c r="AC16" s="100">
        <f>IF(AB16="","",IF(AND($Q$63=1,$U$25=$U$24,$U$24=$U$26,$U$26=$U$30,$U$30=$U$22),120,IF(AND($Q$63=2,$U$25=$U$24,$U$24=$U$26,$U$26=$U$30,$U$30=$U$22),60,IF(AND($Q$63=3,$U$25=$U$24,$U$24=$U$26,$U$26=$U$30,$U$30=$U$22),40,""))))</f>
      </c>
      <c r="AD16" s="100">
        <f>IF(AC16="","",IF(AND($Q$63=1,$U$25=$U$24,$U$24=$U$26,$U$26=$U$30,$U$30=$U$22,$U$38=$U$22),120,IF(AND($Q$63=2,$U$25=$U$24,$U$24=$U$26,$U$26=$U$30,$U$30=$U$22,$U$38=$U$22),60,IF(AND($Q$63=3,$U$25=$U$24,$U$24=$U$26,$U$26=$U$30,$U$30=$U$22,$U$38=$U$22),40,""))))</f>
      </c>
      <c r="AE16" s="401">
        <f t="shared" si="1"/>
        <v>15</v>
      </c>
      <c r="AF16" s="399"/>
    </row>
    <row r="17" spans="1:32" s="83" customFormat="1" ht="9" customHeight="1">
      <c r="A17" s="89">
        <v>6</v>
      </c>
      <c r="B17" s="103" t="str">
        <f>IF($D17="","",VLOOKUP($D17,'[1]ž glavni turnir žrebna lista'!$A$7:$R$38,17))</f>
        <v>D</v>
      </c>
      <c r="C17" s="103">
        <f>IF($D17="","",VLOOKUP($D17,'[1]ž glavni turnir žrebna lista'!$A$7:$R$38,2))</f>
        <v>6491</v>
      </c>
      <c r="D17" s="74">
        <v>22</v>
      </c>
      <c r="E17" s="104" t="str">
        <f>UPPER(IF($D17="","",VLOOKUP($D17,'[1]ž glavni turnir žrebna lista'!$A$7:$R$38,3)))</f>
        <v>BURJA</v>
      </c>
      <c r="F17" s="104" t="str">
        <f>PROPER(IF($D17="","",VLOOKUP($D17,'[1]ž glavni turnir žrebna lista'!$A$7:$R$38,4)))</f>
        <v>Žana</v>
      </c>
      <c r="G17" s="104"/>
      <c r="H17" s="104" t="str">
        <f>IF($D17="","",VLOOKUP($D17,'[1]ž glavni turnir žrebna lista'!$A$7:$R$38,5))</f>
        <v>DOMŽA</v>
      </c>
      <c r="I17" s="402">
        <f>IF($D17="","",VLOOKUP($D17,'[1]ž glavni turnir žrebna lista'!$A$7:$R$38,14))</f>
        <v>10</v>
      </c>
      <c r="J17" s="76" t="s">
        <v>126</v>
      </c>
      <c r="K17" s="107"/>
      <c r="L17" s="76"/>
      <c r="M17" s="345"/>
      <c r="N17" s="78"/>
      <c r="O17" s="346"/>
      <c r="P17" s="78"/>
      <c r="Q17" s="78"/>
      <c r="R17" s="82"/>
      <c r="U17" s="30">
        <f>IF($D17="","",VLOOKUP($D17,'[1]ž glavni turnir žrebna lista'!$A$7:$R$38,2))</f>
        <v>6491</v>
      </c>
      <c r="V17" s="56">
        <v>11</v>
      </c>
      <c r="W17" s="56" t="str">
        <f>UPPER(IF($D27="","",VLOOKUP($D27,'[1]ž glavni turnir žrebna lista'!$A$7:$R$38,3)))</f>
        <v>HAUPTMAN</v>
      </c>
      <c r="X17" s="56" t="str">
        <f>PROPER(IF($D27="","",VLOOKUP($D27,'[1]ž glavni turnir žrebna lista'!$A$7:$R$38,4)))</f>
        <v>Vita Lucija</v>
      </c>
      <c r="Y17" s="58">
        <f t="shared" si="0"/>
        <v>15</v>
      </c>
      <c r="Z17" s="58">
        <f>IF(Y17="","",IF(AND($Q$63=1,U28=U27),30,IF(AND($Q$63=2,U28=U27),15,IF(AND($Q$63=3,U28=U27),10,""))))</f>
        <v>15</v>
      </c>
      <c r="AA17" s="58">
        <f>IF(Z17="","",IF(AND($Q$63=1,U27=U26,U26=U28),60,IF(AND($Q$63=2,U27=U26,U26=U28),30,IF(AND($Q$63=3,U27=U26,U26=U28),20,""))))</f>
      </c>
      <c r="AB17" s="58">
        <f>IF(AA17="","",IF(AND($Q$63=1,U28=U27,U26=U27,U28=U30),120,IF(AND($Q$63=2,U28=U27,U26=U27,U28=U30),60,IF(AND($Q$63=3,U28=U26,U26=U27,U28=U30),40,""))))</f>
      </c>
      <c r="AC17" s="58">
        <f>IF(AB17="","",IF(AND($Q$63=1,$U$27=$U$28,$U$28=$U$26,$U$26=$U$30,$U$30=$U$22),120,IF(AND($Q$63=2,$U$27=$U$28,$U$28=$U$26,$U$26=$U$30,$U$30=$U$22),60,IF(AND($Q$63=3,$U$27=$U$28,$U$28=$U$26,$U$26=$U$30,$U$30=$U$22),40,""))))</f>
      </c>
      <c r="AD17" s="58">
        <f>IF(AC17="","",IF(AND($Q$63=1,$U$27=$U$28,$U$28=$U$26,$U$26=$U$30,$U$30=$U$22,$U$38=$U$22),120,IF(AND($Q$63=2,$U$27=$U$28,$U$28=$U$26,$U$26=$U$30,$U$30=$U$22,$U$38=$U$22),60,IF(AND($Q$63=3,$U$27=$U$28,$U$28=$U$26,$U$26=$U$30,$U$30=$U$22,$U$38=$U$22),40,""))))</f>
      </c>
      <c r="AE17" s="398">
        <f t="shared" si="1"/>
        <v>30</v>
      </c>
      <c r="AF17" s="399"/>
    </row>
    <row r="18" spans="1:32" s="83" customFormat="1" ht="9" customHeight="1">
      <c r="A18" s="89"/>
      <c r="B18" s="90"/>
      <c r="C18" s="90"/>
      <c r="D18" s="109"/>
      <c r="E18" s="91"/>
      <c r="F18" s="91"/>
      <c r="G18" s="92"/>
      <c r="H18" s="76"/>
      <c r="I18" s="110"/>
      <c r="J18" s="93" t="s">
        <v>23</v>
      </c>
      <c r="K18" s="111" t="s">
        <v>75</v>
      </c>
      <c r="L18" s="95" t="str">
        <f>UPPER(IF(OR(K18="a",K18="as"),J16,IF(OR(K18="b",K18="bs"),J20,)))</f>
        <v>REJC</v>
      </c>
      <c r="M18" s="402">
        <f>IF(OR(K18="a",K18="as"),K16,IF(OR(K18="b",K18="bs"),K20,))</f>
        <v>30</v>
      </c>
      <c r="N18" s="78"/>
      <c r="O18" s="346"/>
      <c r="P18" s="78"/>
      <c r="Q18" s="78"/>
      <c r="R18" s="82"/>
      <c r="U18" s="30">
        <f>IF(OR(K18="a",K18="as"),U16,IF(OR(K18="b",K18="bs"),U20,""))</f>
        <v>6144</v>
      </c>
      <c r="V18" s="98">
        <v>12</v>
      </c>
      <c r="W18" s="98" t="str">
        <f>UPPER(IF($D29="","",VLOOKUP($D29,'[1]ž glavni turnir žrebna lista'!$A$7:$R$38,3)))</f>
        <v>TURNŠEK</v>
      </c>
      <c r="X18" s="98" t="str">
        <f>PROPER(IF($D29="","",VLOOKUP($D29,'[1]ž glavni turnir žrebna lista'!$A$7:$R$38,4)))</f>
        <v>Anja</v>
      </c>
      <c r="Y18" s="100">
        <f t="shared" si="0"/>
        <v>15</v>
      </c>
      <c r="Z18" s="100">
        <f>IF(Y18="","",IF(AND($Q$63=1,U29=U28),30,IF(AND($Q$63=2,U29=U28),15,IF(AND($Q$63=3,U29=U28),10,""))))</f>
      </c>
      <c r="AA18" s="100">
        <f>IF(Z18="","",IF(AND($Q$63=1,U28=U26,U28=U29),60,IF(AND($Q$63=2,U28=U26,U26=U29),30,IF(AND($Q$63=3,U28=U26,U26=U29),20,""))))</f>
      </c>
      <c r="AB18" s="100">
        <f>IF(AA18="","",IF(AND($Q$63=1,U29=U28,U26=U28,U29=U30),120,IF(AND($Q$63=2,U29=U28,U26=U28,U29=U30),60,IF(AND($Q$63=3,U29=U26,U26=U28,U29=U30),40,""))))</f>
      </c>
      <c r="AC18" s="100">
        <f>IF(AB18="","",IF(AND($Q$63=1,$U$29=$U$28,$U$28=$U$26,$U$26=$U$30,$U$30=$U$22),120,IF(AND($Q$63=2,$U$29=$U$28,$U$28=$U$26,$U$26=$U$30,$U$30=$U$22),60,IF(AND($Q$63=3,$U$29=$U$28,$U$28=$U$26,$U$26=$U$30,$U$30=$U$22),40,""))))</f>
      </c>
      <c r="AD18" s="100">
        <f>IF(AC18="","",IF(AND($Q$63=1,$U$29=$U$28,$U$28=$U$26,$U$26=$U$30,$U$30=$U$22,$U$38=$U$22),120,IF(AND($Q$63=2,$U$29=$U$28,$U$28=$U$26,$U$26=$U$30,$U$30=$U$22,$U$38=$U$22),60,IF(AND($Q$63=3,$U$29=$U$28,$U$28=$U$26,$U$26=$U$30,$U$30=$U$22,$U$38=$U$22),40,""))))</f>
      </c>
      <c r="AE18" s="401">
        <f t="shared" si="1"/>
        <v>15</v>
      </c>
      <c r="AF18" s="399"/>
    </row>
    <row r="19" spans="1:32" s="83" customFormat="1" ht="9" customHeight="1">
      <c r="A19" s="89">
        <v>7</v>
      </c>
      <c r="B19" s="103" t="str">
        <f>IF($D19="","",VLOOKUP($D19,'[1]ž glavni turnir žrebna lista'!$A$7:$R$38,17))</f>
        <v>D</v>
      </c>
      <c r="C19" s="103">
        <f>IF($D19="","",VLOOKUP($D19,'[1]ž glavni turnir žrebna lista'!$A$7:$R$38,2))</f>
        <v>6527</v>
      </c>
      <c r="D19" s="74">
        <v>21</v>
      </c>
      <c r="E19" s="104" t="str">
        <f>UPPER(IF($D19="","",VLOOKUP($D19,'[1]ž glavni turnir žrebna lista'!$A$7:$R$38,3)))</f>
        <v>TOMIČ EGART</v>
      </c>
      <c r="F19" s="104" t="str">
        <f>PROPER(IF($D19="","",VLOOKUP($D19,'[1]ž glavni turnir žrebna lista'!$A$7:$R$38,4)))</f>
        <v>Žana</v>
      </c>
      <c r="G19" s="104"/>
      <c r="H19" s="104" t="str">
        <f>IF($D19="","",VLOOKUP($D19,'[1]ž glavni turnir žrebna lista'!$A$7:$R$38,5))</f>
        <v>TR-KR</v>
      </c>
      <c r="I19" s="394">
        <f>IF($D19="","",VLOOKUP($D19,'[1]ž glavni turnir žrebna lista'!$A$7:$R$38,14))</f>
        <v>20</v>
      </c>
      <c r="J19" s="76"/>
      <c r="K19" s="114"/>
      <c r="L19" s="76" t="s">
        <v>127</v>
      </c>
      <c r="M19" s="343"/>
      <c r="N19" s="78"/>
      <c r="O19" s="346"/>
      <c r="P19" s="78"/>
      <c r="Q19" s="78"/>
      <c r="R19" s="82"/>
      <c r="U19" s="30">
        <f>IF($D19="","",VLOOKUP($D19,'[1]ž glavni turnir žrebna lista'!$A$7:$R$38,2))</f>
        <v>6527</v>
      </c>
      <c r="V19" s="56">
        <v>13</v>
      </c>
      <c r="W19" s="56" t="str">
        <f>UPPER(IF($D31="","",VLOOKUP($D31,'[1]ž glavni turnir žrebna lista'!$A$7:$R$38,3)))</f>
        <v>FIŠER</v>
      </c>
      <c r="X19" s="56" t="str">
        <f>PROPER(IF($D31="","",VLOOKUP($D31,'[1]ž glavni turnir žrebna lista'!$A$7:$R$38,4)))</f>
        <v>Eva</v>
      </c>
      <c r="Y19" s="58">
        <f t="shared" si="0"/>
        <v>15</v>
      </c>
      <c r="Z19" s="58">
        <f>IF(Y19="","",IF(AND($Q$63=1,U32=U31),30,IF(AND($Q$63=2,U32=U31),15,IF(AND($Q$63=3,U32=U31),10,""))))</f>
      </c>
      <c r="AA19" s="58">
        <f>IF(Z19="","",IF(AND($Q$63=1,U34=U32,U32=U31),60,IF(AND($Q$63=2,U34=U32,U32=U31),30,IF(AND($Q$63=3,U34=U32,U32=U31),20,""))))</f>
      </c>
      <c r="AB19" s="58">
        <f>IF(AA19="","",IF(AND($Q$63=1,U31=U32,U32=U34,U30=U34),120,IF(AND($Q$63=2,U31=U32,U32=U34,U30=U34),60,IF(AND($Q$63=3,U31=U32,U32=U34,U30=U34),40,""))))</f>
      </c>
      <c r="AC19" s="58">
        <f>IF(AB19="","",IF(AND($Q$63=1,$U$31=$U$32,$U$32=$U$34,$U$34=$U$30,$U$30=$U$22),120,IF(AND($Q$63=2,$U$31=$U$32,$U$32=$U$34,$U$34=$U$30,$U$30=$U$22),60,IF(AND($Q$63=3,$U$31=$U$32,$U$32=$U$34,$U$34=$U$30,$U$30=$U$22),40,""))))</f>
      </c>
      <c r="AD19" s="58">
        <f>IF(AC19="","",IF(AND($Q$63=1,$U$31=$U$32,$U$32=$U$34,$U$34=$U$30,$U$30=$U$22,$U$38=$U$22),120,IF(AND($Q$63=2,$U$31=$U$32,$U$32=$U$34,$U$34=$U$30,$U$30=$U$22,$U$38=$U$22),60,IF(AND($Q$63=3,$U$31=$U$32,$U$32=$U$34,$U$34=$U$30,$U$30=$U$22,$U$38=$U$22),40,""))))</f>
      </c>
      <c r="AE19" s="398">
        <f t="shared" si="1"/>
        <v>15</v>
      </c>
      <c r="AF19" s="399"/>
    </row>
    <row r="20" spans="1:32" s="83" customFormat="1" ht="9" customHeight="1">
      <c r="A20" s="89"/>
      <c r="B20" s="90"/>
      <c r="C20" s="90"/>
      <c r="D20" s="90"/>
      <c r="E20" s="91"/>
      <c r="F20" s="91"/>
      <c r="G20" s="92"/>
      <c r="H20" s="93" t="s">
        <v>23</v>
      </c>
      <c r="I20" s="94" t="s">
        <v>75</v>
      </c>
      <c r="J20" s="95" t="str">
        <f>UPPER(IF(OR(I20="a",I20="as"),E19,IF(OR(I20="b",I20="bs"),E21,)))</f>
        <v>REJC</v>
      </c>
      <c r="K20" s="402">
        <f>IF(OR(I20="a",I20="as"),I19,IF(OR(I20="b",I20="bs"),I21,))</f>
        <v>30</v>
      </c>
      <c r="L20" s="76"/>
      <c r="M20" s="343"/>
      <c r="N20" s="78"/>
      <c r="O20" s="346"/>
      <c r="P20" s="78"/>
      <c r="Q20" s="78"/>
      <c r="R20" s="82"/>
      <c r="U20" s="30">
        <f>IF(OR(I20="a",I20="as"),C19,IF(OR(I20="b",I20="bs"),C21,""))</f>
        <v>6144</v>
      </c>
      <c r="V20" s="98">
        <v>14</v>
      </c>
      <c r="W20" s="98" t="str">
        <f>UPPER(IF($D33="","",VLOOKUP($D33,'[1]ž glavni turnir žrebna lista'!$A$7:$R$38,3)))</f>
        <v>SEFIČ</v>
      </c>
      <c r="X20" s="98" t="str">
        <f>PROPER(IF($D33="","",VLOOKUP($D33,'[1]ž glavni turnir žrebna lista'!$A$7:$R$38,4)))</f>
        <v>Laura</v>
      </c>
      <c r="Y20" s="100">
        <f t="shared" si="0"/>
        <v>15</v>
      </c>
      <c r="Z20" s="100">
        <f>IF(Y20="","",IF(AND($Q$63=1,U33=U32),30,IF(AND($Q$63=2,U33=U32),15,IF(AND($Q$63=3,U33=U32),10,""))))</f>
        <v>15</v>
      </c>
      <c r="AA20" s="100">
        <f>IF(Z20="","",IF(AND($Q$63=1,U34=U33,U33=U32),60,IF(AND($Q$63=2,U34=U33,U33=U32),30,IF(AND($Q$63=3,U34=U33,U33=U32),20,""))))</f>
      </c>
      <c r="AB20" s="100">
        <f>IF(AA20="","",IF(AND($Q$63=1,U32=U33,U33=U30,U30=U34),120,IF(AND($Q$63=2,U32=U33,U33=U30,U30=U34),60,IF(AND($Q$63=3,U32=U33,U33=U30,U30=U34),40,""))))</f>
      </c>
      <c r="AC20" s="100">
        <f>IF(AB20="","",IF(AND($Q$63=1,$U$33=$U$32,$U$32=$U$34,$U$34=$U$30,$U$30=$U$22),120,IF(AND($Q$63=2,$U$33=$U$32,$U$32=$U$34,$U$34=$U$30,$U$30=$U$22),60,IF(AND($Q$63=3,$U$33=$U$32,$U$32=$U$34,$U$34=$U$30,$U$30=$U$22),40,""))))</f>
      </c>
      <c r="AD20" s="100">
        <f>IF(AC20="","",IF(AND($Q$63=1,$U$33=$U$32,$U$32=$U$34,$U$34=$U$30,$U$30=$U$22,$U$38=$U$22),120,IF(AND($Q$63=2,$U$33=$U$32,$U$32=$U$34,$U$34=$U$30,$U$30=$U$22,$U$38=$U$22),60,IF(AND($Q$63=3,$U$33=$U$32,$U$32=$U$34,$U$34=$U$30,$U$30=$U$22,$U$38=$U$22),40,""))))</f>
      </c>
      <c r="AE20" s="401">
        <f t="shared" si="1"/>
        <v>30</v>
      </c>
      <c r="AF20" s="399"/>
    </row>
    <row r="21" spans="1:32" s="83" customFormat="1" ht="9" customHeight="1">
      <c r="A21" s="72">
        <v>8</v>
      </c>
      <c r="B21" s="73" t="str">
        <f>IF($D21="","",VLOOKUP($D21,'[1]ž glavni turnir žrebna lista'!$A$7:$R$38,17))</f>
        <v>V</v>
      </c>
      <c r="C21" s="73">
        <f>IF($D21="","",VLOOKUP($D21,'[1]ž glavni turnir žrebna lista'!$A$7:$R$38,2))</f>
        <v>6144</v>
      </c>
      <c r="D21" s="74">
        <v>7</v>
      </c>
      <c r="E21" s="73" t="str">
        <f>UPPER(IF($D21="","",VLOOKUP($D21,'[1]ž glavni turnir žrebna lista'!$A$7:$R$38,3)))</f>
        <v>REJC</v>
      </c>
      <c r="F21" s="73" t="str">
        <f>PROPER(IF($D21="","",VLOOKUP($D21,'[1]ž glavni turnir žrebna lista'!$A$7:$R$38,4)))</f>
        <v>Simona</v>
      </c>
      <c r="G21" s="73"/>
      <c r="H21" s="73" t="str">
        <f>IF($D21="","",VLOOKUP($D21,'[1]ž glavni turnir žrebna lista'!$A$7:$R$38,5))</f>
        <v>IDRIJ</v>
      </c>
      <c r="I21" s="402">
        <f>IF($D21="","",VLOOKUP($D21,'[1]ž glavni turnir žrebna lista'!$A$7:$R$38,14))</f>
        <v>30</v>
      </c>
      <c r="J21" s="76" t="s">
        <v>94</v>
      </c>
      <c r="K21" s="119"/>
      <c r="L21" s="76"/>
      <c r="M21" s="343"/>
      <c r="N21" s="78"/>
      <c r="O21" s="346"/>
      <c r="P21" s="78"/>
      <c r="Q21" s="78"/>
      <c r="R21" s="82"/>
      <c r="U21" s="30">
        <f>IF($D21="","",VLOOKUP($D21,'[1]ž glavni turnir žrebna lista'!$A$7:$R$38,2))</f>
        <v>6144</v>
      </c>
      <c r="V21" s="56">
        <v>15</v>
      </c>
      <c r="W21" s="56" t="str">
        <f>UPPER(IF($D35="","",VLOOKUP($D35,'[1]ž glavni turnir žrebna lista'!$A$7:$R$38,3)))</f>
        <v>KRIVEC</v>
      </c>
      <c r="X21" s="56" t="str">
        <f>PROPER(IF($D35="","",VLOOKUP($D35,'[1]ž glavni turnir žrebna lista'!$A$7:$R$38,4)))</f>
        <v>Nina</v>
      </c>
      <c r="Y21" s="58">
        <f t="shared" si="0"/>
        <v>15</v>
      </c>
      <c r="Z21" s="58">
        <f>IF(Y21="","",IF(AND($Q$63=1,U36=U35),30,IF(AND($Q$63=2,U36=U35),15,IF(AND($Q$63=3,U36=U35),10,""))))</f>
      </c>
      <c r="AA21" s="58">
        <f>IF(Z21="","",IF(AND($Q$63=1,U35=U34,U34=U36),60,IF(AND($Q$63=2,U35=U34,U34=U36),30,IF(AND($Q$63=3,U35=U34,U34=U36),20,""))))</f>
      </c>
      <c r="AB21" s="58">
        <f>IF(AA21="","",IF(AND($Q$63=1,U30=U34,U34=U35,U35=U36),120,IF(AND($Q$63=2,U30=U34,U34=U35,U35=U36),60,IF(AND($Q$63=3,U30=U34,U34=U35,U35=U36),40,""))))</f>
      </c>
      <c r="AC21" s="58">
        <f>IF(AB21="","",IF(AND($Q$63=1,$U$35=$U$36,$U$36=$U$34,$U$34=$U$30,$U$30=$U$22),120,IF(AND($Q$63=2,$U$35=$U$36,$U$36=$U$34,$U$34=$U$30,$U$30=$U$22),60,IF(AND($Q$63=3,$U$35=$U$36,$U$36=$U$34,$U$34=$U$30,$U$30=$U$22),40,""))))</f>
      </c>
      <c r="AD21" s="58">
        <f>IF(AC21="","",IF(AND($Q$63=1,$U$35=$U$36,$U$36=$U$34,$U$34=$U$30,$U$30=$U$22,$U$38=$U$22),120,IF(AND($Q$63=2,$U$35=$U$36,$U$36=$U$34,$U$34=$U$30,$U$30=$U$22,$U$38=$U$22),60,IF(AND($Q$63=3,$U$35=$U$36,$U$36=$U$34,$U$34=$U$30,$U$30=$U$22,$U$38=$U$22),40,""))))</f>
      </c>
      <c r="AE21" s="398">
        <f t="shared" si="1"/>
        <v>15</v>
      </c>
      <c r="AF21" s="399"/>
    </row>
    <row r="22" spans="1:32" s="83" customFormat="1" ht="9" customHeight="1">
      <c r="A22" s="89"/>
      <c r="B22" s="90"/>
      <c r="C22" s="90"/>
      <c r="D22" s="90"/>
      <c r="E22" s="121"/>
      <c r="F22" s="121"/>
      <c r="G22" s="126"/>
      <c r="H22" s="121"/>
      <c r="I22" s="110"/>
      <c r="J22" s="76"/>
      <c r="K22" s="119"/>
      <c r="L22" s="76"/>
      <c r="M22" s="343"/>
      <c r="N22" s="93" t="s">
        <v>23</v>
      </c>
      <c r="O22" s="111" t="s">
        <v>156</v>
      </c>
      <c r="P22" s="95" t="str">
        <f>UPPER(IF(OR(O22="a",O22="as"),N14,IF(OR(O22="b",O22="bs"),N30,)))</f>
        <v>OPARENOVIČ</v>
      </c>
      <c r="Q22" s="394">
        <f>IF(OR(O22="a",O22="as"),O14,IF(OR(O22="b",O22="bs"),O30,))</f>
        <v>40</v>
      </c>
      <c r="R22" s="82"/>
      <c r="U22" s="30">
        <f>IF(OR(O22="a",O22="as"),$U$14,IF(OR(O22="b",O22="bs"),U30,""))</f>
        <v>6453</v>
      </c>
      <c r="V22" s="98">
        <v>16</v>
      </c>
      <c r="W22" s="98" t="str">
        <f>UPPER(IF($D37="","",VLOOKUP($D37,'[1]ž glavni turnir žrebna lista'!$A$7:$R$38,3)))</f>
        <v>BUKOVEC</v>
      </c>
      <c r="X22" s="98" t="str">
        <f>PROPER(IF($D37="","",VLOOKUP($D37,'[1]ž glavni turnir žrebna lista'!$A$7:$R$38,4)))</f>
        <v>Klavdija</v>
      </c>
      <c r="Y22" s="100">
        <f t="shared" si="0"/>
        <v>15</v>
      </c>
      <c r="Z22" s="100">
        <f>IF(Y22="","",IF(AND($Q$63=1,U37=U36),30,IF(AND($Q$63=2,U37=U36),15,IF(AND($Q$63=3,U37=U36),10,""))))</f>
        <v>15</v>
      </c>
      <c r="AA22" s="100">
        <f>IF(Z22="","",IF(AND($Q$63=1,U36=U34,U34=U37),60,IF(AND($Q$63=2,U36=U34,U34=U37),30,IF(AND($Q$63=3,U36=U34,U34=U37),20,""))))</f>
        <v>30</v>
      </c>
      <c r="AB22" s="100">
        <f>IF(AA22="","",IF(AND($Q$63=1,U30=U34,U34=U36,U36=U37),120,IF(AND($Q$63=2,U30=U34,U34=U36,U36=U37),60,IF(AND($Q$63=3,U30=U34,U34=U36,U36=U37),40,""))))</f>
      </c>
      <c r="AC22" s="100">
        <f>IF(AB22="","",IF(AND($Q$63=1,$U$37=$U$36,$U$36=$U$34,$U$34=$U$30,$U$30=$U$22),120,IF(AND($Q$63=2,$U$37=$U$36,$U$36=$U$34,$U$34=$U$30,$U$30=$U$22),60,IF(AND($Q$63=3,$U$37=$U$36,$U$36=$U$34,$U$34=$U$30,$U$30=$U$22),40,""))))</f>
      </c>
      <c r="AD22" s="100">
        <f>IF(AC22="","",IF(AND($Q$63=1,$U$37=$U$36,$U$36=$U$34,$U$34=$U$30,$U$30=$U$22,$U$38=$U$22),120,IF(AND($Q$63=2,$U$37=$U$36,$U$36=$U$34,$U$34=$U$30,$U$30=$U$22,$U$38=$U$22),60,IF(AND($Q$63=3,$U$37=$U$36,$U$36=$U$34,$U$34=$U$30,$U$30=$U$22,$U$38=$U$22),40,""))))</f>
      </c>
      <c r="AE22" s="401">
        <f t="shared" si="1"/>
        <v>60</v>
      </c>
      <c r="AF22" s="399"/>
    </row>
    <row r="23" spans="1:32" s="83" customFormat="1" ht="9" customHeight="1">
      <c r="A23" s="72">
        <v>9</v>
      </c>
      <c r="B23" s="73" t="str">
        <f>IF($D23="","",VLOOKUP($D23,'[1]ž glavni turnir žrebna lista'!$A$7:$R$38,17))</f>
        <v>D</v>
      </c>
      <c r="C23" s="73">
        <f>IF($D23="","",VLOOKUP($D23,'[1]ž glavni turnir žrebna lista'!$A$7:$R$38,2))</f>
        <v>6322</v>
      </c>
      <c r="D23" s="74">
        <v>3</v>
      </c>
      <c r="E23" s="73" t="str">
        <f>UPPER(IF($D23="","",VLOOKUP($D23,'[1]ž glavni turnir žrebna lista'!$A$7:$R$38,3)))</f>
        <v>JERŠE</v>
      </c>
      <c r="F23" s="73" t="str">
        <f>PROPER(IF($D23="","",VLOOKUP($D23,'[1]ž glavni turnir žrebna lista'!$A$7:$R$38,4)))</f>
        <v>Tjaša</v>
      </c>
      <c r="G23" s="73"/>
      <c r="H23" s="73" t="str">
        <f>IF($D23="","",VLOOKUP($D23,'[1]ž glavni turnir žrebna lista'!$A$7:$R$38,5))</f>
        <v>TC-LJ</v>
      </c>
      <c r="I23" s="394">
        <f>IF($D23="","",VLOOKUP($D23,'[1]ž glavni turnir žrebna lista'!$A$7:$R$38,14))</f>
        <v>30</v>
      </c>
      <c r="J23" s="76"/>
      <c r="K23" s="119"/>
      <c r="L23" s="76"/>
      <c r="M23" s="343"/>
      <c r="N23" s="78"/>
      <c r="O23" s="346"/>
      <c r="P23" s="76" t="s">
        <v>99</v>
      </c>
      <c r="Q23" s="346"/>
      <c r="R23" s="82"/>
      <c r="U23" s="30">
        <f>IF($D23="","",VLOOKUP($D23,'[1]ž glavni turnir žrebna lista'!$A$7:$R$38,2))</f>
        <v>6322</v>
      </c>
      <c r="V23" s="56">
        <v>17</v>
      </c>
      <c r="W23" s="56" t="str">
        <f>UPPER(IF($D39="","",VLOOKUP($D39,'[1]ž glavni turnir žrebna lista'!$A$7:$R$38,3)))</f>
        <v>HRKAČ</v>
      </c>
      <c r="X23" s="56" t="str">
        <f>PROPER(IF($D39="","",VLOOKUP($D39,'[1]ž glavni turnir žrebna lista'!$A$7:$R$38,4)))</f>
        <v>Kristina</v>
      </c>
      <c r="Y23" s="58">
        <f t="shared" si="0"/>
        <v>15</v>
      </c>
      <c r="Z23" s="58">
        <f>IF(Y23="","",IF(AND($Q$63=1,U40=U39),30,IF(AND($Q$63=2,U40=U39),15,IF(AND($Q$63=3,U40=U39),10,""))))</f>
      </c>
      <c r="AA23" s="58">
        <f>IF(Z23="","",IF(AND($Q$63=1,U39=U40,U40=U42),60,IF(AND($Q$63=2,U39=U40,U40=U42),30,IF(AND($Q$63=3,U39=U40,U40=U42),20,""))))</f>
      </c>
      <c r="AB23" s="58">
        <f>IF(AA23="","",IF(AND($Q$63=1,U46=U42,U42=U40,U40=U39),120,IF(AND($Q$63=2,U46=U42,U42=U40,U40=U39),60,IF(AND($Q$63=3,U46=U42,U42=U40,U40=U39),40,""))))</f>
      </c>
      <c r="AC23" s="58">
        <f>IF(AB23="","",IF(AND($Q$63=1,$U$39=$U$40,$U$40=$U$42,$U$42=$U$46,$U$46=$U$54),120,IF(AND($Q$63=2,$U$39=$U$40,$U$40=$U$42,$U$42=$U$46,$U$46=$U$54),60,IF(AND($Q$63=3,$U$39=$U$40,$U$40=$U$42,$U$42=$U$46,$U$46=$U$54),40,""))))</f>
      </c>
      <c r="AD23" s="58">
        <f>IF(AC23="","",IF(AND($Q$63=1,$U$39=$U$40,$U$40=$U$42,$U$42=$U$46,$U$46=$U$54,$U$38=$U$54),120,IF(AND($Q$63=2,$U$39=$U$40,$U$40=$U$42,$U$42=$U$46,$U$46=$U$54,$U$38=$U$54),60,IF(AND($Q$63=3,$U$39=$U$40,$U$40=$U$42,$U$42=$U$46,$U$46=$U$54,$U$38=$U$54),40,""))))</f>
      </c>
      <c r="AE23" s="398">
        <f t="shared" si="1"/>
        <v>15</v>
      </c>
      <c r="AF23" s="399"/>
    </row>
    <row r="24" spans="1:32" s="83" customFormat="1" ht="9" customHeight="1">
      <c r="A24" s="89"/>
      <c r="B24" s="90"/>
      <c r="C24" s="90"/>
      <c r="D24" s="90"/>
      <c r="E24" s="91"/>
      <c r="F24" s="91"/>
      <c r="G24" s="92"/>
      <c r="H24" s="93" t="s">
        <v>23</v>
      </c>
      <c r="I24" s="94" t="s">
        <v>24</v>
      </c>
      <c r="J24" s="95" t="str">
        <f>UPPER(IF(OR(I24="a",I24="as"),E23,IF(OR(I24="b",I24="bs"),E25,)))</f>
        <v>JERŠE</v>
      </c>
      <c r="K24" s="394">
        <f>IF(OR(I24="a",I24="as"),I23,IF(OR(I24="b",I24="bs"),I25,))</f>
        <v>30</v>
      </c>
      <c r="L24" s="76"/>
      <c r="M24" s="343"/>
      <c r="N24" s="78"/>
      <c r="O24" s="346"/>
      <c r="P24" s="78"/>
      <c r="Q24" s="346"/>
      <c r="R24" s="82"/>
      <c r="U24" s="30">
        <f>IF(OR(I24="a",I24="as"),C23,IF(OR(I24="b",I24="bs"),C25,""))</f>
        <v>6322</v>
      </c>
      <c r="V24" s="98">
        <v>18</v>
      </c>
      <c r="W24" s="98" t="str">
        <f>UPPER(IF($D41="","",VLOOKUP($D41,'[1]ž glavni turnir žrebna lista'!$A$7:$R$38,3)))</f>
        <v>KLANEČEK</v>
      </c>
      <c r="X24" s="98" t="str">
        <f>PROPER(IF($D41="","",VLOOKUP($D41,'[1]ž glavni turnir žrebna lista'!$A$7:$R$38,4)))</f>
        <v>Saša</v>
      </c>
      <c r="Y24" s="100">
        <f t="shared" si="0"/>
        <v>15</v>
      </c>
      <c r="Z24" s="100">
        <f>IF(Y24="","",IF(AND($Q$63=1,U41=U40),30,IF(AND($Q$63=2,U41=U40),15,IF(AND($Q$63=3,U41=U40),10,""))))</f>
        <v>15</v>
      </c>
      <c r="AA24" s="100">
        <f>IF(Z24="","",IF(AND($Q$63=1,U40=U41,U41=U42),60,IF(AND($Q$63=2,U40=U41,U41=U42),30,IF(AND($Q$63=3,U40=U41,U41=U42),20,""))))</f>
        <v>30</v>
      </c>
      <c r="AB24" s="100">
        <f>IF(AA24="","",IF(AND($Q$63=1,U46=U42,U42=U40,U40=U41),120,IF(AND($Q$63=2,U46=U42,U42=U40,U40=U41),60,IF(AND($Q$63=3,U46=U42,U42=U40,U41=U40),40,""))))</f>
      </c>
      <c r="AC24" s="100">
        <f>IF(AB24="","",IF(AND($Q$63=1,$U$41=$U$40,$U$40=$U$42,$U$42=$U$46,$U$46=$U$54),120,IF(AND($Q$63=2,$U$41=$U$40,$U$40=$U$42,$U$42=$U$46,$U$46=$U$54),60,IF(AND($Q$63=3,$U$41=$U$40,$U$40=$U$42,$U$42=$U$46,$U$46=$U$54),40,""))))</f>
      </c>
      <c r="AD24" s="100">
        <f>IF(AC24="","",IF(AND($Q$63=1,$U$41=$U$40,$U$40=$U$42,$U$42=$U$46,$U$46=$U$54,$U$38=$U$54),120,IF(AND($Q$63=2,$U$41=$U$40,$U$40=$U$42,$U$42=$U$46,$U$46=$U$54,$U$38=$U$54),60,IF(AND($Q$63=3,$U$41=$U$40,$U$40=$U$42,$U$42=$U$46,$U$46=$U$54,$U$38=$U$54),40,""))))</f>
      </c>
      <c r="AE24" s="401">
        <f t="shared" si="1"/>
        <v>60</v>
      </c>
      <c r="AF24" s="399"/>
    </row>
    <row r="25" spans="1:32" s="83" customFormat="1" ht="9" customHeight="1">
      <c r="A25" s="89">
        <v>10</v>
      </c>
      <c r="B25" s="103" t="str">
        <f>IF($D25="","",VLOOKUP($D25,'[1]ž glavni turnir žrebna lista'!$A$7:$R$38,17))</f>
        <v>V</v>
      </c>
      <c r="C25" s="103">
        <f>IF($D25="","",VLOOKUP($D25,'[1]ž glavni turnir žrebna lista'!$A$7:$R$38,2))</f>
        <v>6535</v>
      </c>
      <c r="D25" s="74">
        <v>15</v>
      </c>
      <c r="E25" s="104" t="str">
        <f>UPPER(IF($D25="","",VLOOKUP($D25,'[1]ž glavni turnir žrebna lista'!$A$7:$R$38,3)))</f>
        <v>MORI</v>
      </c>
      <c r="F25" s="104" t="str">
        <f>PROPER(IF($D25="","",VLOOKUP($D25,'[1]ž glavni turnir žrebna lista'!$A$7:$R$38,4)))</f>
        <v>Maša</v>
      </c>
      <c r="G25" s="104"/>
      <c r="H25" s="104" t="str">
        <f>IF($D25="","",VLOOKUP($D25,'[1]ž glavni turnir žrebna lista'!$A$7:$R$38,5))</f>
        <v>PORTO</v>
      </c>
      <c r="I25" s="402">
        <f>IF($D25="","",VLOOKUP($D25,'[1]ž glavni turnir žrebna lista'!$A$7:$R$38,14))</f>
        <v>20</v>
      </c>
      <c r="J25" s="76" t="s">
        <v>99</v>
      </c>
      <c r="K25" s="107"/>
      <c r="L25" s="76"/>
      <c r="M25" s="343"/>
      <c r="N25" s="78"/>
      <c r="O25" s="346"/>
      <c r="P25" s="78"/>
      <c r="Q25" s="346"/>
      <c r="R25" s="82"/>
      <c r="U25" s="30">
        <f>IF($D25="","",VLOOKUP($D25,'[1]ž glavni turnir žrebna lista'!$A$7:$R$38,2))</f>
        <v>6535</v>
      </c>
      <c r="V25" s="56">
        <v>19</v>
      </c>
      <c r="W25" s="56" t="str">
        <f>UPPER(IF($D43="","",VLOOKUP($D43,'[1]ž glavni turnir žrebna lista'!$A$7:$R$38,3)))</f>
        <v>DEVETAK</v>
      </c>
      <c r="X25" s="56" t="str">
        <f>PROPER(IF($D43="","",VLOOKUP($D43,'[1]ž glavni turnir žrebna lista'!$A$7:$R$38,4)))</f>
        <v>Martina</v>
      </c>
      <c r="Y25" s="58">
        <f t="shared" si="0"/>
        <v>15</v>
      </c>
      <c r="Z25" s="58">
        <f>IF(Y25="","",IF(AND($Q$63=1,U44=U43),30,IF(AND($Q$63=2,U44=U43),15,IF(AND($Q$63=3,U44=U43),10,""))))</f>
      </c>
      <c r="AA25" s="58">
        <f>IF(Z25="","",IF(AND($Q$63=1,U44=U42,U44=U43),60,IF(AND($Q$63=2,U42=U44,U44=U43),30,IF(AND($Q$63=3,U42=U44,U44=U43),20,""))))</f>
      </c>
      <c r="AB25" s="58">
        <f>IF(AA25="","",IF(AND($Q$63=1,U46=U42,U42=U44,U44=U43),120,IF(AND($Q$63=2,U46=U42,U42=U44,U44=U43),60,IF(AND($Q$63=3,U46=U42,U42=U44,U44=U43),40,""))))</f>
      </c>
      <c r="AC25" s="58">
        <f>IF(AB25="","",IF(AND($Q$63=1,$U$43=$U$44,$U$44=$U$42,$U$42=$U$46,$U$46=$U$54),120,IF(AND($Q$63=2,$U$43=$U$44,$U$44=$U$42,$U$42=$U$46,$U$46=$U$54),60,IF(AND($Q$63=3,$U$43=$U$44,$U$44=$U$42,$U$42=$U$46,$U$46=$U$54),40,""))))</f>
      </c>
      <c r="AD25" s="58">
        <f>IF(AC25="","",IF(AND($Q$63=1,$U$43=$U$44,$U$44=$U$42,$U$42=$U$46,$U$46=$U$54,$U$38=$U$54),120,IF(AND($Q$63=2,$U$43=$U$44,$U$44=$U$42,$U$42=$U$46,$U$46=$U$54,$U$38=$U$54),60,IF(AND($Q$63=3,$U$43=$U$44,$U$44=$U$42,$U$42=$U$46,$U$46=$U$54,$U$38=$U$54),40,""))))</f>
      </c>
      <c r="AE25" s="398">
        <f t="shared" si="1"/>
        <v>15</v>
      </c>
      <c r="AF25" s="399"/>
    </row>
    <row r="26" spans="1:32" s="83" customFormat="1" ht="9" customHeight="1">
      <c r="A26" s="89"/>
      <c r="B26" s="90"/>
      <c r="C26" s="90"/>
      <c r="D26" s="109"/>
      <c r="E26" s="91"/>
      <c r="F26" s="91"/>
      <c r="G26" s="92"/>
      <c r="H26" s="91"/>
      <c r="I26" s="110"/>
      <c r="J26" s="93" t="s">
        <v>23</v>
      </c>
      <c r="K26" s="111" t="s">
        <v>24</v>
      </c>
      <c r="L26" s="95" t="str">
        <f>UPPER(IF(OR(K26="a",K26="as"),J24,IF(OR(K26="b",K26="bs"),J28,)))</f>
        <v>JERŠE</v>
      </c>
      <c r="M26" s="394">
        <f>IF(OR(K26="a",K26="as"),K24,IF(OR(K26="b",K26="bs"),K28,))</f>
        <v>30</v>
      </c>
      <c r="N26" s="78"/>
      <c r="O26" s="346"/>
      <c r="P26" s="78"/>
      <c r="Q26" s="346"/>
      <c r="R26" s="82"/>
      <c r="U26" s="30">
        <f>IF(OR(K26="a",K26="as"),U24,IF(OR(K26="b",K26="bs"),U28,""))</f>
        <v>6322</v>
      </c>
      <c r="V26" s="98">
        <v>20</v>
      </c>
      <c r="W26" s="98" t="str">
        <f>UPPER(IF($D45="","",VLOOKUP($D45,'[1]ž glavni turnir žrebna lista'!$A$7:$R$38,3)))</f>
        <v>TRATNIK</v>
      </c>
      <c r="X26" s="98" t="str">
        <f>PROPER(IF($D45="","",VLOOKUP($D45,'[1]ž glavni turnir žrebna lista'!$A$7:$R$38,4)))</f>
        <v>Blažka</v>
      </c>
      <c r="Y26" s="100">
        <f t="shared" si="0"/>
        <v>15</v>
      </c>
      <c r="Z26" s="100">
        <f>IF(Y26="","",IF(AND($Q$63=1,U45=U44),30,IF(AND($Q$63=2,U45=U44),15,IF(AND($Q$63=3,U45=U44),10,""))))</f>
        <v>15</v>
      </c>
      <c r="AA26" s="100">
        <f>IF(Z26="","",IF(AND($Q$63=1,U45=U42,U45=U44),60,IF(AND($Q$63=2,U42=U45,U45=U44),30,IF(AND($Q$63=3,U42=U45,U45=U44),20,""))))</f>
      </c>
      <c r="AB26" s="100">
        <f>IF(AA26="","",IF(AND($Q$63=1,U46=U42,U42=U44,U45=U44),120,IF(AND($Q$63=2,U46=U42,U42=U44,U45=U44),60,IF(AND($Q$63=3,U46=U42,U42=U44,U45=U44),40,""))))</f>
      </c>
      <c r="AC26" s="100">
        <f>IF(AB26="","",IF(AND($Q$63=1,$U$45=$U$44,$U$44=$U$42,$U$42=$U$46,$U$46=$U$54),120,IF(AND($Q$63=2,$U$45=$U$44,$U$44=$U$42,$U$42=$U$46,$U$46=$U$54),60,IF(AND($Q$63=3,$U$45=$U$44,$U$44=$U$42,$U$42=$U$46,$U$46=$U$54),40,""))))</f>
      </c>
      <c r="AD26" s="100">
        <f>IF(AC26="","",IF(AND($Q$63=1,$U$45=$U$44,$U$44=$U$42,$U$42=$U$46,$U$46=$U$54,$U$38=$U$54),120,IF(AND($Q$63=2,$U$45=$U$44,$U$44=$U$42,$U$42=$U$46,$U$46=$U$54,$U$38=$U$54),60,IF(AND($Q$63=3,$U$45=$U$44,$U$44=$U$42,$U$42=$U$46,$U$46=$U$54,$U$38=$U$54),40,""))))</f>
      </c>
      <c r="AE26" s="401">
        <f t="shared" si="1"/>
        <v>30</v>
      </c>
      <c r="AF26" s="399"/>
    </row>
    <row r="27" spans="1:32" s="83" customFormat="1" ht="9" customHeight="1">
      <c r="A27" s="89">
        <v>11</v>
      </c>
      <c r="B27" s="103" t="str">
        <f>IF($D27="","",VLOOKUP($D27,'[1]ž glavni turnir žrebna lista'!$A$7:$R$38,17))</f>
        <v>D</v>
      </c>
      <c r="C27" s="103">
        <f>IF($D27="","",VLOOKUP($D27,'[1]ž glavni turnir žrebna lista'!$A$7:$R$38,2))</f>
        <v>6475</v>
      </c>
      <c r="D27" s="74">
        <v>13</v>
      </c>
      <c r="E27" s="104" t="str">
        <f>UPPER(IF($D27="","",VLOOKUP($D27,'[1]ž glavni turnir žrebna lista'!$A$7:$R$38,3)))</f>
        <v>HAUPTMAN</v>
      </c>
      <c r="F27" s="104" t="str">
        <f>PROPER(IF($D27="","",VLOOKUP($D27,'[1]ž glavni turnir žrebna lista'!$A$7:$R$38,4)))</f>
        <v>Vita Lucija</v>
      </c>
      <c r="G27" s="104"/>
      <c r="H27" s="104" t="str">
        <f>IF($D27="","",VLOOKUP($D27,'[1]ž glavni turnir žrebna lista'!$A$7:$R$38,5))</f>
        <v>ŽTKMB</v>
      </c>
      <c r="I27" s="394">
        <f>IF($D27="","",VLOOKUP($D27,'[1]ž glavni turnir žrebna lista'!$A$7:$R$38,14))</f>
        <v>20</v>
      </c>
      <c r="J27" s="76"/>
      <c r="K27" s="114"/>
      <c r="L27" s="76" t="s">
        <v>152</v>
      </c>
      <c r="M27" s="345"/>
      <c r="N27" s="78"/>
      <c r="O27" s="346"/>
      <c r="P27" s="78"/>
      <c r="Q27" s="346"/>
      <c r="R27" s="82"/>
      <c r="U27" s="30">
        <f>IF($D27="","",VLOOKUP($D27,'[1]ž glavni turnir žrebna lista'!$A$7:$R$38,2))</f>
        <v>6475</v>
      </c>
      <c r="V27" s="56">
        <v>21</v>
      </c>
      <c r="W27" s="56" t="str">
        <f>UPPER(IF($D47="","",VLOOKUP($D47,'[1]ž glavni turnir žrebna lista'!$A$7:$R$38,3)))</f>
        <v>MAKAROVIČ</v>
      </c>
      <c r="X27" s="56" t="str">
        <f>PROPER(IF($D47="","",VLOOKUP($D47,'[1]ž glavni turnir žrebna lista'!$A$7:$R$38,4)))</f>
        <v>Anika</v>
      </c>
      <c r="Y27" s="58">
        <f t="shared" si="0"/>
        <v>15</v>
      </c>
      <c r="Z27" s="58">
        <f>IF(Y27="","",IF(AND($Q$63=1,U48=U47),30,IF(AND($Q$63=2,U48=U47),15,IF(AND($Q$63=3,U48=U47),10,""))))</f>
        <v>15</v>
      </c>
      <c r="AA27" s="58">
        <f>IF(Z27="","",IF(AND($Q$63=1,U50=U48,U48=U47),60,IF(AND($Q$63=2,U50=U48,U48=U47),30,IF(AND($Q$63=3,U50=U48,U48=U47),20,""))))</f>
      </c>
      <c r="AB27" s="58">
        <f>IF(AA27="","",IF(AND($Q$63=1,U46=U50,U50=U48,U48=U47),120,IF(AND($Q$63=2,U46=U50,U50=U48,U48=U47),60,IF(AND($Q$63=3,U46=U50,U50=U48,U48=U47),40,""))))</f>
      </c>
      <c r="AC27" s="58">
        <f>IF(AB27="","",IF(AND($Q$63=1,$U$47=$U$48,$U$48=$U$50,$U$50=$U$46,$U$46=$U$54),120,IF(AND($Q$63=2,$U$47=$U$48,$U$48=$U$50,$U$50=$U$46,$U$46=$U$54),60,IF(AND($Q$63=3,$U$47=$U$48,$U$48=$U$50,$U$50=$U$46,$U$46=$U$54),40,""))))</f>
      </c>
      <c r="AD27" s="58">
        <f>IF(AC27="","",IF(AND($Q$63=1,$U$47=$U$48,$U$48=$U$50,$U$50=$U$46,$U$46=$U$54,$U$38=$U$54),120,IF(AND($Q$63=2,$U$47=$U$48,$U$48=$U$50,$U$50=$U$46,$U$46=$U$54,$U$38=$U$54),60,IF(AND($Q$63=3,$U$47=$U$48,$U$48=$U$50,$U$50=$U$46,$U$46=$U$54,$U$38=$U$54),40,""))))</f>
      </c>
      <c r="AE27" s="398">
        <f t="shared" si="1"/>
        <v>30</v>
      </c>
      <c r="AF27" s="399"/>
    </row>
    <row r="28" spans="1:32" s="83" customFormat="1" ht="9" customHeight="1">
      <c r="A28" s="127"/>
      <c r="B28" s="90"/>
      <c r="C28" s="90"/>
      <c r="D28" s="109"/>
      <c r="E28" s="91"/>
      <c r="F28" s="91"/>
      <c r="G28" s="92"/>
      <c r="H28" s="93" t="s">
        <v>23</v>
      </c>
      <c r="I28" s="94" t="s">
        <v>27</v>
      </c>
      <c r="J28" s="95" t="str">
        <f>UPPER(IF(OR(I28="a",I28="as"),E27,IF(OR(I28="b",I28="bs"),E29,)))</f>
        <v>HAUPTMAN</v>
      </c>
      <c r="K28" s="402">
        <f>IF(OR(I28="a",I28="as"),I27,IF(OR(I28="b",I28="bs"),I29,))</f>
        <v>20</v>
      </c>
      <c r="L28" s="76"/>
      <c r="M28" s="345"/>
      <c r="N28" s="78"/>
      <c r="O28" s="346"/>
      <c r="P28" s="78"/>
      <c r="Q28" s="346"/>
      <c r="R28" s="82"/>
      <c r="U28" s="30">
        <f>IF(OR(I28="a",I28="as"),C27,IF(OR(I28="b",I28="bs"),C29,""))</f>
        <v>6475</v>
      </c>
      <c r="V28" s="98">
        <v>22</v>
      </c>
      <c r="W28" s="98" t="str">
        <f>UPPER(IF($D49="","",VLOOKUP($D49,'[1]ž glavni turnir žrebna lista'!$A$7:$R$38,3)))</f>
        <v>ZUKIČ</v>
      </c>
      <c r="X28" s="98" t="str">
        <f>PROPER(IF($D49="","",VLOOKUP($D49,'[1]ž glavni turnir žrebna lista'!$A$7:$R$38,4)))</f>
        <v>Sandra</v>
      </c>
      <c r="Y28" s="100">
        <f t="shared" si="0"/>
        <v>15</v>
      </c>
      <c r="Z28" s="100">
        <f>IF(Y28="","",IF(AND($Q$63=1,U49=U48),30,IF(AND($Q$63=2,U49=U48),15,IF(AND($Q$63=3,U49=U48),10,""))))</f>
      </c>
      <c r="AA28" s="100">
        <f>IF(Z28="","",IF(AND($Q$63=1,U50=U49,U49=U48),60,IF(AND($Q$63=2,U50=U49,U49=U48),30,IF(AND($Q$63=3,U50=U49,U49=U48),20,""))))</f>
      </c>
      <c r="AB28" s="100">
        <f>IF(AA28="","",IF(AND($Q$63=1,U46=U50,U50=U48,U49=U48),120,IF(AND($Q$63=2,U46=U50,U50=U48,U48=U49),60,IF(AND($Q$63=3,U46=U50,U50=U48,U49=U48),40,""))))</f>
      </c>
      <c r="AC28" s="100">
        <f>IF(AB28="","",IF(AND($Q$63=1,$U$49=$U$48,$U$48=$U$50,$U$50=$U$46,$U$46=$U$54),120,IF(AND($Q$63=2,$U$49=$U$48,$U$48=$U$50,$U$50=$U$46,$U$46=$U$54),60,IF(AND($Q$63=3,$U$49=$U$48,$U$48=$U$50,$U$50=$U$46,$U$46=$U$54),40,""))))</f>
      </c>
      <c r="AD28" s="100">
        <f>IF(AC28="","",IF(AND($Q$63=1,$U$49=$U$48,$U$48=$U$50,$U$50=$U$46,$U$46=$U$54,$U$38=$U$54),120,IF(AND($Q$63=2,$U$49=$U$48,$U$48=$U$50,$U$50=$U$46,$U$46=$U$54,$U$38=$U$54),60,IF(AND($Q$63=3,$U$49=$U$48,$U$48=$U$50,$U$50=$U$46,$U$46=$U$54,$U$38=$U$54),40,""))))</f>
      </c>
      <c r="AE28" s="401">
        <f t="shared" si="1"/>
        <v>15</v>
      </c>
      <c r="AF28" s="399"/>
    </row>
    <row r="29" spans="1:32" s="83" customFormat="1" ht="9" customHeight="1">
      <c r="A29" s="89">
        <v>12</v>
      </c>
      <c r="B29" s="103" t="str">
        <f>IF($D29="","",VLOOKUP($D29,'[1]ž glavni turnir žrebna lista'!$A$7:$R$38,17))</f>
        <v>K</v>
      </c>
      <c r="C29" s="103">
        <f>IF($D29="","",VLOOKUP($D29,'[1]ž glavni turnir žrebna lista'!$A$7:$R$38,2))</f>
        <v>7475</v>
      </c>
      <c r="D29" s="74">
        <v>29</v>
      </c>
      <c r="E29" s="104" t="str">
        <f>UPPER(IF($D29="","",VLOOKUP($D29,'[1]ž glavni turnir žrebna lista'!$A$7:$R$38,3)))</f>
        <v>TURNŠEK</v>
      </c>
      <c r="F29" s="104" t="str">
        <f>PROPER(IF($D29="","",VLOOKUP($D29,'[1]ž glavni turnir žrebna lista'!$A$7:$R$38,4)))</f>
        <v>Anja</v>
      </c>
      <c r="G29" s="104"/>
      <c r="H29" s="104" t="str">
        <f>IF($D29="","",VLOOKUP($D29,'[1]ž glavni turnir žrebna lista'!$A$7:$R$38,5))</f>
        <v>LTC</v>
      </c>
      <c r="I29" s="402">
        <f>IF($D29="","",VLOOKUP($D29,'[1]ž glavni turnir žrebna lista'!$A$7:$R$38,14))</f>
        <v>10</v>
      </c>
      <c r="J29" s="76" t="s">
        <v>99</v>
      </c>
      <c r="K29" s="119"/>
      <c r="L29" s="76"/>
      <c r="M29" s="345"/>
      <c r="N29" s="78"/>
      <c r="O29" s="346"/>
      <c r="P29" s="78"/>
      <c r="Q29" s="346"/>
      <c r="R29" s="82"/>
      <c r="U29" s="30">
        <f>IF($D29="","",VLOOKUP($D29,'[1]ž glavni turnir žrebna lista'!$A$7:$R$38,2))</f>
        <v>7475</v>
      </c>
      <c r="V29" s="56">
        <v>23</v>
      </c>
      <c r="W29" s="56" t="str">
        <f>UPPER(IF($D51="","",VLOOKUP($D51,'[1]ž glavni turnir žrebna lista'!$A$7:$R$38,3)))</f>
        <v>ŠARABON</v>
      </c>
      <c r="X29" s="56" t="str">
        <f>PROPER(IF($D51="","",VLOOKUP($D51,'[1]ž glavni turnir žrebna lista'!$A$7:$R$38,4)))</f>
        <v>Lara</v>
      </c>
      <c r="Y29" s="58">
        <f t="shared" si="0"/>
        <v>15</v>
      </c>
      <c r="Z29" s="58">
        <f>IF(Y29="","",IF(AND($Q$63=1,U52=U51),30,IF(AND($Q$63=2,U52=U51),15,IF(AND($Q$63=3,U52=U51),10,""))))</f>
      </c>
      <c r="AA29" s="58">
        <f>IF(Z29="","",IF(AND($Q$63=1,U51=U50,U50=U52),60,IF(AND($Q$63=2,U51=U50,U50=U52),30,IF(AND($Q$63=3,U51=U50,U50=U52),20,""))))</f>
      </c>
      <c r="AB29" s="58">
        <f>IF(AA29="","",IF(AND($Q$63=1,U46=U50,U50=U52,U52=U51),120,IF(AND($Q$63=2,U46=U50,U50=U52,U52=U51),60,IF(AND($Q$63=3,U46=U50,U50=U52,U52=U51),40,""))))</f>
      </c>
      <c r="AC29" s="58">
        <f>IF(AB29="","",IF(AND($Q$63=1,$U$51=$U$52,$U$52=$U$50,$U$50=$U$46,$U$46=$U$54),120,IF(AND($Q$63=2,$U$51=$U$52,$U$52=$U$50,$U$50=$U$46,$U$46=$U$54),60,IF(AND($Q$63=3,$U$51=$U$52,$U$52=$U$50,$U$50=$U$46,$U$46=$U$54),40,""))))</f>
      </c>
      <c r="AD29" s="58">
        <f>IF(AC29="","",IF(AND($Q$63=1,$U$51=$U$52,$U$52=$U$50,$U$50=$U$46,$U$46=$U$54,$U$38=$U$54),120,IF(AND($Q$63=2,$U$51=$U$52,$U$52=$U$50,$U$50=$U$46,$U$46=$U$54,$U$38=$U$54),60,IF(AND($Q$63=3,$U$51=$U$52,$U$52=$U$50,$U$50=$U$46,$U$46=$U$54,$U$38=$U$54),40,""))))</f>
      </c>
      <c r="AE29" s="398">
        <f t="shared" si="1"/>
        <v>15</v>
      </c>
      <c r="AF29" s="399"/>
    </row>
    <row r="30" spans="1:32" s="83" customFormat="1" ht="9" customHeight="1">
      <c r="A30" s="89"/>
      <c r="B30" s="90"/>
      <c r="C30" s="90"/>
      <c r="D30" s="109"/>
      <c r="E30" s="76"/>
      <c r="F30" s="76"/>
      <c r="G30" s="120"/>
      <c r="H30" s="121"/>
      <c r="I30" s="110"/>
      <c r="J30" s="76"/>
      <c r="K30" s="119"/>
      <c r="L30" s="93" t="s">
        <v>23</v>
      </c>
      <c r="M30" s="111" t="s">
        <v>24</v>
      </c>
      <c r="N30" s="95" t="str">
        <f>UPPER(IF(OR(M30="a",M30="as"),L26,IF(OR(M30="b",M30="bs"),L34,)))</f>
        <v>JERŠE</v>
      </c>
      <c r="O30" s="402">
        <f>IF(OR(M30="a",M30="as"),M26,IF(OR(M30="b",M30="bs"),M34,))</f>
        <v>30</v>
      </c>
      <c r="P30" s="78"/>
      <c r="Q30" s="346"/>
      <c r="R30" s="82"/>
      <c r="U30" s="30">
        <f>IF(OR(M30="a",M30="as"),U26,IF(OR(M30="b",M30="bs"),U34,""))</f>
        <v>6322</v>
      </c>
      <c r="V30" s="98">
        <v>24</v>
      </c>
      <c r="W30" s="98" t="str">
        <f>UPPER(IF($D53="","",VLOOKUP($D53,'[1]ž glavni turnir žrebna lista'!$A$7:$R$38,3)))</f>
        <v>EMERŠIČ LJUBIČ</v>
      </c>
      <c r="X30" s="98" t="str">
        <f>PROPER(IF($D53="","",VLOOKUP($D53,'[1]ž glavni turnir žrebna lista'!$A$7:$R$38,4)))</f>
        <v>Kaja</v>
      </c>
      <c r="Y30" s="100">
        <f t="shared" si="0"/>
        <v>15</v>
      </c>
      <c r="Z30" s="100">
        <f>IF(Y30="","",IF(AND($Q$63=1,U53=U52),30,IF(AND($Q$63=2,U53=U52),15,IF(AND($Q$63=3,U53=U52),10,""))))</f>
        <v>15</v>
      </c>
      <c r="AA30" s="100">
        <f>IF(Z30="","",IF(AND($Q$63=1,U52=U50,U52=U53),60,IF(AND($Q$63=2,U52=U50,U52=U53),30,IF(AND($Q$63=3,U52=U50,U52=U53),20,""))))</f>
        <v>30</v>
      </c>
      <c r="AB30" s="100">
        <f>IF(AA30="","",IF(AND($Q$63=1,U46=U50,U50=U52,U53=U52),120,IF(AND($Q$63=2,U46=U50,U50=U52,U53=U52),60,IF(AND($Q$63=3,U46=U50,U50=U52,U53=U52),40,""))))</f>
        <v>60</v>
      </c>
      <c r="AC30" s="100">
        <f>IF(AB30="","",IF(AND($Q$63=1,$U$53=$U$52,$U$52=$U$50,$U$50=$U$46,$U$46=$U$54),120,IF(AND($Q$63=2,$U$53=$U$52,$U$52=$U$50,$U$50=$U$46,$U$46=$U$54),60,IF(AND($Q$63=3,$U$53=$U$52,$U$52=$U$50,$U$50=$U$46,$U$46=$U$54),40,""))))</f>
      </c>
      <c r="AD30" s="100">
        <f>IF(AC30="","",IF(AND($Q$63=1,$U$53=$U$52,$U$52=$U$50,$U$50=$U$46,$U$46=$U$54,$U$38=$U$54),120,IF(AND($Q$63=2,$U$53=$U$52,$U$52=$U$50,$U$50=$U$46,$U$46=$U$54,$U$38=$U$54),60,IF(AND($Q$63=3,$U$53=$U$52,$U$52=$U$50,$U$50=$U$46,$U$46=$U$54,$U$38=$U$54),40,""))))</f>
      </c>
      <c r="AE30" s="401">
        <f t="shared" si="1"/>
        <v>120</v>
      </c>
      <c r="AF30" s="399"/>
    </row>
    <row r="31" spans="1:32" s="83" customFormat="1" ht="9" customHeight="1">
      <c r="A31" s="89">
        <v>13</v>
      </c>
      <c r="B31" s="103" t="str">
        <f>IF($D31="","",VLOOKUP($D31,'[1]ž glavni turnir žrebna lista'!$A$7:$R$38,17))</f>
        <v>K</v>
      </c>
      <c r="C31" s="103">
        <f>IF($D31="","",VLOOKUP($D31,'[1]ž glavni turnir žrebna lista'!$A$7:$R$38,2))</f>
        <v>5920</v>
      </c>
      <c r="D31" s="74">
        <v>26</v>
      </c>
      <c r="E31" s="104" t="str">
        <f>UPPER(IF($D31="","",VLOOKUP($D31,'[1]ž glavni turnir žrebna lista'!$A$7:$R$38,3)))</f>
        <v>FIŠER</v>
      </c>
      <c r="F31" s="104" t="str">
        <f>PROPER(IF($D31="","",VLOOKUP($D31,'[1]ž glavni turnir žrebna lista'!$A$7:$R$38,4)))</f>
        <v>Eva</v>
      </c>
      <c r="G31" s="104"/>
      <c r="H31" s="104" t="str">
        <f>IF($D31="","",VLOOKUP($D31,'[1]ž glavni turnir žrebna lista'!$A$7:$R$38,5))</f>
        <v>KOPER</v>
      </c>
      <c r="I31" s="394">
        <f>IF($D31="","",VLOOKUP($D31,'[1]ž glavni turnir žrebna lista'!$A$7:$R$38,14))</f>
        <v>10</v>
      </c>
      <c r="J31" s="76"/>
      <c r="K31" s="119"/>
      <c r="L31" s="76"/>
      <c r="M31" s="345"/>
      <c r="N31" s="76" t="s">
        <v>99</v>
      </c>
      <c r="O31" s="79"/>
      <c r="P31" s="78"/>
      <c r="Q31" s="346"/>
      <c r="R31" s="82"/>
      <c r="U31" s="30">
        <f>IF($D31="","",VLOOKUP($D31,'[1]ž glavni turnir žrebna lista'!$A$7:$R$38,2))</f>
        <v>5920</v>
      </c>
      <c r="V31" s="56">
        <v>25</v>
      </c>
      <c r="W31" s="56" t="str">
        <f>UPPER(IF($D55="","",VLOOKUP($D55,'[1]ž glavni turnir žrebna lista'!$A$7:$R$38,3)))</f>
        <v>GLAVIČ</v>
      </c>
      <c r="X31" s="56" t="str">
        <f>PROPER(IF($D55="","",VLOOKUP($D55,'[1]ž glavni turnir žrebna lista'!$A$7:$R$38,4)))</f>
        <v>Lara</v>
      </c>
      <c r="Y31" s="58">
        <f t="shared" si="0"/>
        <v>15</v>
      </c>
      <c r="Z31" s="58">
        <f>IF(Y31="","",IF(AND($Q$63=1,U56=U55),30,IF(AND($Q$63=2,U56=U55),15,IF(AND($Q$63=3,U56=U55),10,""))))</f>
        <v>15</v>
      </c>
      <c r="AA31" s="58">
        <f>IF(Z31="","",IF(AND($Q$63=1,U55=U56,U56=U58),60,IF(AND($Q$63=2,U55=U56,U56=U58),30,IF(AND($Q$63=3,U55=U56,U56=U58),20,""))))</f>
        <v>30</v>
      </c>
      <c r="AB31" s="58">
        <f>IF(AA31="","",IF(AND($Q$63=1,U62=U58,U58=U56,U56=U55),120,IF(AND($Q$63=2,U62=U58,U58=U56,U56=U55),60,IF(AND($Q$63=3,U62=U58,U58=U56,U56=U55),40,""))))</f>
      </c>
      <c r="AC31" s="58">
        <f>IF(AB31="","",IF(AND($Q$63=1,$U$55=$U$56,$U$56=$U$58,$U$58=$U$62,$U$62=$U$54),120,IF(AND($Q$63=2,$U$55=$U$56,$U$56=$U$58,$U$58=$U$62,$U$62=$U$54),60,IF(AND($Q$63=3,$U$55=$U$56,$U$56=$U$58,$U$58=$U$62,$U$62=$U$54),40,""))))</f>
      </c>
      <c r="AD31" s="58">
        <f>IF(AC31="","",IF(AND($Q$63=1,$U$55=$U$56,$U$56=$U$58,$U$58=$U$62,$U$62=$U$54,$U$38=$U$54),120,IF(AND($Q$63=2,$U$55=$U$56,$U$56=$U$58,$U$58=$U$62,$U$62=$U$54,$U$38=$U$54),60,IF(AND($Q$63=3,$U$55=$U$56,$U$56=$U$58,$U$58=$U$62,$U$62=$U$54,$U$38=$U$54),40,""))))</f>
      </c>
      <c r="AE31" s="398">
        <f t="shared" si="1"/>
        <v>60</v>
      </c>
      <c r="AF31" s="399"/>
    </row>
    <row r="32" spans="1:32" s="83" customFormat="1" ht="9" customHeight="1">
      <c r="A32" s="89"/>
      <c r="B32" s="90"/>
      <c r="C32" s="90"/>
      <c r="D32" s="109"/>
      <c r="E32" s="91"/>
      <c r="F32" s="91"/>
      <c r="G32" s="92"/>
      <c r="H32" s="93" t="s">
        <v>23</v>
      </c>
      <c r="I32" s="94" t="s">
        <v>26</v>
      </c>
      <c r="J32" s="95" t="str">
        <f>UPPER(IF(OR(I32="a",I32="as"),E31,IF(OR(I32="b",I32="bs"),E33,)))</f>
        <v>SEFIČ</v>
      </c>
      <c r="K32" s="394">
        <f>IF(OR(I32="a",I32="as"),I31,IF(OR(I32="b",I32="bs"),I33,))</f>
        <v>10</v>
      </c>
      <c r="L32" s="76"/>
      <c r="M32" s="345"/>
      <c r="N32" s="78"/>
      <c r="O32" s="79"/>
      <c r="P32" s="78"/>
      <c r="Q32" s="346"/>
      <c r="R32" s="82"/>
      <c r="U32" s="30">
        <f>IF(OR(I32="a",I32="as"),C31,IF(OR(I32="b",I32="bs"),C33,""))</f>
        <v>6681</v>
      </c>
      <c r="V32" s="98">
        <v>26</v>
      </c>
      <c r="W32" s="98" t="str">
        <f>UPPER(IF($D57="","",VLOOKUP($D57,'[1]ž glavni turnir žrebna lista'!$A$7:$R$38,3)))</f>
        <v>PEROŠA</v>
      </c>
      <c r="X32" s="98" t="str">
        <f>PROPER(IF($D57="","",VLOOKUP($D57,'[1]ž glavni turnir žrebna lista'!$A$7:$R$38,4)))</f>
        <v>Silvija</v>
      </c>
      <c r="Y32" s="100">
        <f t="shared" si="0"/>
        <v>15</v>
      </c>
      <c r="Z32" s="100">
        <f>IF(Y32="","",IF(AND($Q$63=1,U57=U56),30,IF(AND($Q$63=2,U57=U56),15,IF(AND($Q$63=3,U57=U56),10,""))))</f>
      </c>
      <c r="AA32" s="100">
        <f>IF(Z32="","",IF(AND($Q$63=1,U56=U57,U57=U58),60,IF(AND($Q$63=2,U56=U57,U57=U58),30,IF(AND($Q$63=3,U56=U57,U57=U58),20,""))))</f>
      </c>
      <c r="AB32" s="100">
        <f>IF(AA32="","",IF(AND($Q$63=1,U62=U58,U58=U56,U56=U57),120,IF(AND($Q$63=2,U62=U58,U58=U56,U56=U57),60,IF(AND($Q$63=3,U62=U58,U58=U56,U56=U57),40,""))))</f>
      </c>
      <c r="AC32" s="100">
        <f>IF(AB32="","",IF(AND($Q$63=1,$U$57=$U$56,$U$56=$U$58,$U$58=$U$62,$U$62=$U$54),120,IF(AND($Q$63=2,$U$57=$U$56,$U$56=$U$58,$U$58=$U$62,$U$62=$U$54),60,IF(AND($Q$63=3,$U$57=$U$56,$U$56=$U$58,$U$58=$U$62,$U$62=$U$54),40,""))))</f>
      </c>
      <c r="AD32" s="100">
        <f>IF(AC32="","",IF(AND($Q$63=1,$U$57=$U$56,$U$56=$U$58,$U$58=$U$62,$U$62=$U$54,$U$38=$U$54),120,IF(AND($Q$63=2,$U$57=$U$56,$U$56=$U$58,$U$58=$U$62,$U$62=$U$54,$U$38=$U$54),60,IF(AND($Q$63=3,$U$57=$U$56,$U$56=$U$58,$U$58=$U$62,$U$62=$U$54,$U$38=$U$54),40,""))))</f>
      </c>
      <c r="AE32" s="401">
        <f t="shared" si="1"/>
        <v>15</v>
      </c>
      <c r="AF32" s="399"/>
    </row>
    <row r="33" spans="1:32" s="83" customFormat="1" ht="9" customHeight="1">
      <c r="A33" s="89">
        <v>14</v>
      </c>
      <c r="B33" s="103" t="str">
        <f>IF($D33="","",VLOOKUP($D33,'[1]ž glavni turnir žrebna lista'!$A$7:$R$38,17))</f>
        <v>K</v>
      </c>
      <c r="C33" s="103">
        <f>IF($D33="","",VLOOKUP($D33,'[1]ž glavni turnir žrebna lista'!$A$7:$R$38,2))</f>
        <v>6681</v>
      </c>
      <c r="D33" s="74">
        <v>28</v>
      </c>
      <c r="E33" s="104" t="str">
        <f>UPPER(IF($D33="","",VLOOKUP($D33,'[1]ž glavni turnir žrebna lista'!$A$7:$R$38,3)))</f>
        <v>SEFIČ</v>
      </c>
      <c r="F33" s="104" t="str">
        <f>PROPER(IF($D33="","",VLOOKUP($D33,'[1]ž glavni turnir žrebna lista'!$A$7:$R$38,4)))</f>
        <v>Laura</v>
      </c>
      <c r="G33" s="104"/>
      <c r="H33" s="104" t="str">
        <f>IF($D33="","",VLOOKUP($D33,'[1]ž glavni turnir žrebna lista'!$A$7:$R$38,5))</f>
        <v>RADOV</v>
      </c>
      <c r="I33" s="402">
        <f>IF($D33="","",VLOOKUP($D33,'[1]ž glavni turnir žrebna lista'!$A$7:$R$38,14))</f>
        <v>10</v>
      </c>
      <c r="J33" s="76" t="s">
        <v>127</v>
      </c>
      <c r="K33" s="107"/>
      <c r="L33" s="76"/>
      <c r="M33" s="345"/>
      <c r="N33" s="78"/>
      <c r="O33" s="79"/>
      <c r="P33" s="78"/>
      <c r="Q33" s="346"/>
      <c r="R33" s="82"/>
      <c r="U33" s="30">
        <f>IF($D33="","",VLOOKUP($D33,'[1]ž glavni turnir žrebna lista'!$A$7:$R$38,2))</f>
        <v>6681</v>
      </c>
      <c r="V33" s="56">
        <v>27</v>
      </c>
      <c r="W33" s="56" t="str">
        <f>UPPER(IF($D59="","",VLOOKUP($D59,'[1]ž glavni turnir žrebna lista'!$A$7:$R$38,3)))</f>
        <v>GODEC</v>
      </c>
      <c r="X33" s="56" t="str">
        <f>PROPER(IF($D59="","",VLOOKUP($D59,'[1]ž glavni turnir žrebna lista'!$A$7:$R$38,4)))</f>
        <v>Kristina Tina</v>
      </c>
      <c r="Y33" s="58">
        <f t="shared" si="0"/>
        <v>15</v>
      </c>
      <c r="Z33" s="58">
        <f>IF(Y33="","",IF(AND($Q$63=1,U60=U59),30,IF(AND($Q$63=2,U60=U59),15,IF(AND($Q$63=3,U60=U59),10,""))))</f>
      </c>
      <c r="AA33" s="58">
        <f>IF(Z33="","",IF(AND($Q$63=1,U60=U58,U58=U59),60,IF(AND($Q$63=2,U60=U58,U58=U59),30,IF(AND($Q$63=3,U60=U58,U58=U59),20,""))))</f>
      </c>
      <c r="AB33" s="58">
        <f>IF(AA33="","",IF(AND($Q$63=1,U62=U58,U58=U60,U60=U59),120,IF(AND($Q$63=2,U62=U58,U58=U60,U60=U59),60,IF(AND($Q$63=3,U62=U58,U58=U60,U60=U59),40,""))))</f>
      </c>
      <c r="AC33" s="58">
        <f>IF(AB33="","",IF(AND($Q$63=1,$U$59=$U$60,$U$60=$U$58,$U$58=$U$62,$U$62=$U$54),120,IF(AND($Q$63=2,$U$59=$U$60,$U$60=$U$58,$U$58=$U$62,$U$62=$U$54),60,IF(AND($Q$63=3,$U$59=$U$60,$U$60=$U$58,$U$58=$U$62,$U$62=$U$54),40,""))))</f>
      </c>
      <c r="AD33" s="58">
        <f>IF(AC33="","",IF(AND($Q$63=1,$U$59=$U$60,$U$60=$U$58,$U$58=$U$62,$U$62=$U$54,$U$38=$U$54),120,IF(AND($Q$63=2,$U$59=$U$60,$U$60=$U$58,$U$58=$U$62,$U$62=$U$54,$U$38=$U$54),60,IF(AND($Q$63=3,$U$59=$U$60,$U$60=$U$58,$U$58=$U$62,$U$62=$U$54,$U$38=$U$54),40,""))))</f>
      </c>
      <c r="AE33" s="398">
        <f t="shared" si="1"/>
        <v>15</v>
      </c>
      <c r="AF33" s="399"/>
    </row>
    <row r="34" spans="1:32" s="83" customFormat="1" ht="9" customHeight="1">
      <c r="A34" s="89"/>
      <c r="B34" s="90"/>
      <c r="C34" s="90"/>
      <c r="D34" s="109"/>
      <c r="E34" s="91"/>
      <c r="F34" s="91"/>
      <c r="G34" s="92"/>
      <c r="H34" s="76"/>
      <c r="I34" s="110"/>
      <c r="J34" s="93" t="s">
        <v>23</v>
      </c>
      <c r="K34" s="111" t="s">
        <v>154</v>
      </c>
      <c r="L34" s="95" t="str">
        <f>UPPER(IF(OR(K34="a",K34="as"),J32,IF(OR(K34="b",K34="bs"),J36,)))</f>
        <v>BUKOVEC</v>
      </c>
      <c r="M34" s="402">
        <f>IF(OR(K34="a",K34="as"),K32,IF(OR(K34="b",K34="bs"),K36,))</f>
        <v>30</v>
      </c>
      <c r="N34" s="78"/>
      <c r="O34" s="79"/>
      <c r="P34" s="78"/>
      <c r="Q34" s="346"/>
      <c r="R34" s="82"/>
      <c r="U34" s="30">
        <f>IF(OR(K34="a",K34="as"),U32,IF(OR(K34="b",K34="bs"),U36,""))</f>
        <v>6528</v>
      </c>
      <c r="V34" s="98">
        <v>28</v>
      </c>
      <c r="W34" s="98" t="str">
        <f>UPPER(IF($D61="","",VLOOKUP($D61,'[1]ž glavni turnir žrebna lista'!$A$7:$R$38,3)))</f>
        <v>MERVIČ</v>
      </c>
      <c r="X34" s="98" t="str">
        <f>PROPER(IF($D61="","",VLOOKUP($D61,'[1]ž glavni turnir žrebna lista'!$A$7:$R$38,4)))</f>
        <v>Ana</v>
      </c>
      <c r="Y34" s="100">
        <f t="shared" si="0"/>
        <v>15</v>
      </c>
      <c r="Z34" s="100">
        <f>IF(Y34="","",IF(AND($Q$63=1,U61=U60),30,IF(AND($Q$63=2,U61=U60),15,IF(AND($Q$63=3,U61=U60),10,""))))</f>
        <v>15</v>
      </c>
      <c r="AA34" s="100">
        <f>IF(Z34="","",IF(AND($Q$63=1,U61=U58,U58=U60),60,IF(AND($Q$63=2,U61=U58,U58=U60),30,IF(AND($Q$63=3,U61=U58,U58=U60),20,""))))</f>
      </c>
      <c r="AB34" s="100">
        <f>IF(AA34="","",IF(AND($Q$63=1,U62=U58,U58=U60,U60=U61),120,IF(AND($Q$63=2,U62=U58,U58=U60,U60=U61),60,IF(AND($Q$63=3,U62=U58,U58=U60,U60=U61),40,""))))</f>
      </c>
      <c r="AC34" s="100">
        <f>IF(AB34="","",IF(AND($Q$63=1,$U$61=$U$60,$U$60=$U$58,$U$58=$U$62,$U$62=$U$54),120,IF(AND($Q$63=2,$U$61=$U$60,$U$60=$U$58,$U$58=$U$62,$U$62=$U$54),60,IF(AND($Q$63=3,$U$61=$U$60,$U$60=$U$58,$U$58=$U$62,$U$62=$U$54),40,""))))</f>
      </c>
      <c r="AD34" s="100">
        <f>IF(AC34="","",IF(AND($Q$63=1,$U$61=$U$60,$U$60=$U$58,$U$58=$U$62,$U$62=$U$54,$U$38=$U$54),120,IF(AND($Q$63=2,$U$61=$U$60,$U$60=$U$58,$U$58=$U$62,$U$62=$U$54,$U$38=$U$54),60,IF(AND($Q$63=3,$U$61=$U$60,$U$60=$U$58,$U$58=$U$62,$U$62=$U$54,$U$38=$U$54),40,""))))</f>
      </c>
      <c r="AE34" s="401">
        <f t="shared" si="1"/>
        <v>30</v>
      </c>
      <c r="AF34" s="399"/>
    </row>
    <row r="35" spans="1:32" s="83" customFormat="1" ht="9" customHeight="1">
      <c r="A35" s="89">
        <v>15</v>
      </c>
      <c r="B35" s="103" t="str">
        <f>IF($D35="","",VLOOKUP($D35,'[1]ž glavni turnir žrebna lista'!$A$7:$R$38,17))</f>
        <v>D</v>
      </c>
      <c r="C35" s="103">
        <f>IF($D35="","",VLOOKUP($D35,'[1]ž glavni turnir žrebna lista'!$A$7:$R$38,2))</f>
        <v>6951</v>
      </c>
      <c r="D35" s="74">
        <v>16</v>
      </c>
      <c r="E35" s="104" t="str">
        <f>UPPER(IF($D35="","",VLOOKUP($D35,'[1]ž glavni turnir žrebna lista'!$A$7:$R$38,3)))</f>
        <v>KRIVEC</v>
      </c>
      <c r="F35" s="104" t="str">
        <f>PROPER(IF($D35="","",VLOOKUP($D35,'[1]ž glavni turnir žrebna lista'!$A$7:$R$38,4)))</f>
        <v>Nina</v>
      </c>
      <c r="G35" s="104"/>
      <c r="H35" s="104" t="str">
        <f>IF($D35="","",VLOOKUP($D35,'[1]ž glavni turnir žrebna lista'!$A$7:$R$38,5))</f>
        <v>ŽTKMB</v>
      </c>
      <c r="I35" s="394">
        <f>IF($D35="","",VLOOKUP($D35,'[1]ž glavni turnir žrebna lista'!$A$7:$R$38,14))</f>
        <v>20</v>
      </c>
      <c r="J35" s="76"/>
      <c r="K35" s="114"/>
      <c r="L35" s="76" t="s">
        <v>155</v>
      </c>
      <c r="M35" s="343"/>
      <c r="N35" s="78"/>
      <c r="O35" s="79"/>
      <c r="P35" s="78"/>
      <c r="Q35" s="346"/>
      <c r="R35" s="82"/>
      <c r="U35" s="30">
        <f>IF($D35="","",VLOOKUP($D35,'[1]ž glavni turnir žrebna lista'!$A$7:$R$38,2))</f>
        <v>6951</v>
      </c>
      <c r="V35" s="56">
        <v>29</v>
      </c>
      <c r="W35" s="56" t="str">
        <f>UPPER(IF($D63="","",VLOOKUP($D63,'[1]ž glavni turnir žrebna lista'!$A$7:$R$38,3)))</f>
        <v>BURGER</v>
      </c>
      <c r="X35" s="56" t="str">
        <f>PROPER(IF($D63="","",VLOOKUP($D63,'[1]ž glavni turnir žrebna lista'!$A$7:$R$38,4)))</f>
        <v>Evgenija</v>
      </c>
      <c r="Y35" s="58">
        <f t="shared" si="0"/>
        <v>15</v>
      </c>
      <c r="Z35" s="58">
        <f>IF(Y35="","",IF(AND($Q$63=1,U64=U63),30,IF(AND($Q$63=2,U64=U63),15,IF(AND($Q$63=3,U64=U63),10,""))))</f>
        <v>15</v>
      </c>
      <c r="AA35" s="58">
        <f>IF(Z35="","",IF(AND($Q$63=1,U63=U64,U64=U66),60,IF(AND($Q$63=2,U63=U64,U64=U66),30,IF(AND($Q$63=3,U63=U64,U64=U66),20,""))))</f>
      </c>
      <c r="AB35" s="58">
        <f>IF(AA35="","",IF(AND($Q$63=1,U62=U66,U66=U64,U64=U63),120,IF(AND($Q$63=2,U62=U66,U66=U64,U64=U63),60,IF(AND($Q$63=3,U62=U66,U66=U64,U64=U63),40,""))))</f>
      </c>
      <c r="AC35" s="58">
        <f>IF(AB35="","",IF(AND($Q$63=1,$U$63=$U$64,$U$64=$U$66,$U$66=$U$62,$U$62=$U$54),120,IF(AND($Q$63=2,$U$63=$U$64,$U$64=$U$66,$U$66=$U$62,$U$62=$U$54),60,IF(AND($Q$63=3,$U$63=$U$64,$U$64=$U$66,$U$66=$U$62,$U$62=$U$54),40,""))))</f>
      </c>
      <c r="AD35" s="58">
        <f>IF(AC35="","",IF(AND($Q$63=1,$U$63=$U$64,$U$64=$U$66,$U$66=$U$62,$U$62=$U$54,$U$38=$U$54),120,IF(AND($Q$63=2,$U$63=$U$64,$U$64=$U$66,$U$66=$U$62,$U$62=$U$54,$U$38=$U$54),60,IF(AND($Q$63=3,$U$63=$U$64,$U$64=$U$66,$U$66=$U$62,$U$62=$U$54,$U$38=$U$54),40,""))))</f>
      </c>
      <c r="AE35" s="398">
        <f t="shared" si="1"/>
        <v>30</v>
      </c>
      <c r="AF35" s="399"/>
    </row>
    <row r="36" spans="1:32" s="83" customFormat="1" ht="9" customHeight="1">
      <c r="A36" s="89"/>
      <c r="B36" s="90"/>
      <c r="C36" s="90"/>
      <c r="D36" s="90"/>
      <c r="E36" s="91"/>
      <c r="F36" s="91"/>
      <c r="G36" s="92"/>
      <c r="H36" s="93" t="s">
        <v>23</v>
      </c>
      <c r="I36" s="94" t="s">
        <v>75</v>
      </c>
      <c r="J36" s="95" t="str">
        <f>UPPER(IF(OR(I36="a",I36="as"),E35,IF(OR(I36="b",I36="bs"),E37,)))</f>
        <v>BUKOVEC</v>
      </c>
      <c r="K36" s="402">
        <f>IF(OR(I36="a",I36="as"),I35,IF(OR(I36="b",I36="bs"),I37,))</f>
        <v>30</v>
      </c>
      <c r="L36" s="76"/>
      <c r="M36" s="343"/>
      <c r="N36" s="78"/>
      <c r="O36" s="79"/>
      <c r="P36" s="78"/>
      <c r="Q36" s="346"/>
      <c r="R36" s="82"/>
      <c r="U36" s="30">
        <f>IF(OR(I36="a",I36="as"),C35,IF(OR(I36="b",I36="bs"),C37,""))</f>
        <v>6528</v>
      </c>
      <c r="V36" s="98">
        <v>30</v>
      </c>
      <c r="W36" s="98" t="str">
        <f>UPPER(IF($D65="","",VLOOKUP($D65,'[1]ž glavni turnir žrebna lista'!$A$7:$R$38,3)))</f>
        <v>MEJAK</v>
      </c>
      <c r="X36" s="98" t="str">
        <f>PROPER(IF($D65="","",VLOOKUP($D65,'[1]ž glavni turnir žrebna lista'!$A$7:$R$38,4)))</f>
        <v>Mojca</v>
      </c>
      <c r="Y36" s="100">
        <f t="shared" si="0"/>
        <v>15</v>
      </c>
      <c r="Z36" s="100">
        <f>IF(Y36="","",IF(AND($Q$63=1,U65=U64),30,IF(AND($Q$63=2,U65=U64),15,IF(AND($Q$63=3,U65=U64),10,""))))</f>
      </c>
      <c r="AA36" s="100">
        <f>IF(Z36="","",IF(AND($Q$63=1,U64=U65,U65=U66),60,IF(AND($Q$63=2,U64=U65,U65=U66),30,IF(AND($Q$63=3,U64=U65,U65=U66),20,""))))</f>
      </c>
      <c r="AB36" s="100">
        <f>IF(AA36="","",IF(AND($Q$63=1,U62=U66,U66=U64,U64=U65),120,IF(AND($Q$63=2,U62=U66,U66=U64,U64=U65),60,IF(AND($Q$63=3,U62=U66,U66=U64,U64=U65),40,""))))</f>
      </c>
      <c r="AC36" s="100">
        <f>IF(AB36="","",IF(AND($Q$63=1,$U$65=$U$64,$U$64=$U$66,$U$66=$U$62,$U$62=$U$54),120,IF(AND($Q$63=2,$U$65=$U$64,$U$64=$U$66,$U$66=$U$62,$U$62=$U$54),60,IF(AND($Q$63=3,$U$65=$U$64,$U$64=$U$66,$U$66=$U$62,$U$62=$U$54),40,""))))</f>
      </c>
      <c r="AD36" s="100">
        <f>IF(AC36="","",IF(AND($Q$63=1,$U$65=$U$64,$U$64=$U$66,$U$66=$U$62,$U$62=$U$54,$U$38=$U$54),120,IF(AND($Q$63=2,$U$65=$U$64,$U$64=$U$66,$U$66=$U$62,$U$62=$U$54,$U$38=$U$54),60,IF(AND($Q$63=3,$U$65=$U$64,$U$64=$U$66,$U$66=$U$62,$U$62=$U$54,$U$38=$U$54),40,""))))</f>
      </c>
      <c r="AE36" s="401">
        <f t="shared" si="1"/>
        <v>15</v>
      </c>
      <c r="AF36" s="399"/>
    </row>
    <row r="37" spans="1:32" s="83" customFormat="1" ht="9" customHeight="1">
      <c r="A37" s="72">
        <v>16</v>
      </c>
      <c r="B37" s="73" t="str">
        <f>IF($D37="","",VLOOKUP($D37,'[1]ž glavni turnir žrebna lista'!$A$7:$R$38,17))</f>
        <v>D</v>
      </c>
      <c r="C37" s="73">
        <f>IF($D37="","",VLOOKUP($D37,'[1]ž glavni turnir žrebna lista'!$A$7:$R$38,2))</f>
        <v>6528</v>
      </c>
      <c r="D37" s="74">
        <v>6</v>
      </c>
      <c r="E37" s="73" t="str">
        <f>UPPER(IF($D37="","",VLOOKUP($D37,'[1]ž glavni turnir žrebna lista'!$A$7:$R$38,3)))</f>
        <v>BUKOVEC</v>
      </c>
      <c r="F37" s="73" t="str">
        <f>PROPER(IF($D37="","",VLOOKUP($D37,'[1]ž glavni turnir žrebna lista'!$A$7:$R$38,4)))</f>
        <v>Klavdija</v>
      </c>
      <c r="G37" s="73"/>
      <c r="H37" s="73" t="str">
        <f>IF($D37="","",VLOOKUP($D37,'[1]ž glavni turnir žrebna lista'!$A$7:$R$38,5))</f>
        <v>TR-KR</v>
      </c>
      <c r="I37" s="402">
        <f>IF($D37="","",VLOOKUP($D37,'[1]ž glavni turnir žrebna lista'!$A$7:$R$38,14))</f>
        <v>30</v>
      </c>
      <c r="J37" s="76" t="s">
        <v>148</v>
      </c>
      <c r="K37" s="119"/>
      <c r="L37" s="76"/>
      <c r="M37" s="343"/>
      <c r="N37" s="79"/>
      <c r="O37" s="79"/>
      <c r="P37" s="78"/>
      <c r="Q37" s="346"/>
      <c r="R37" s="82"/>
      <c r="U37" s="30">
        <f>IF($D37="","",VLOOKUP($D37,'[1]ž glavni turnir žrebna lista'!$A$7:$R$38,2))</f>
        <v>6528</v>
      </c>
      <c r="V37" s="56">
        <v>31</v>
      </c>
      <c r="W37" s="56" t="str">
        <f>UPPER(IF($D67="","",VLOOKUP($D67,'[1]ž glavni turnir žrebna lista'!$A$7:$R$38,3)))</f>
        <v>SIRŠE</v>
      </c>
      <c r="X37" s="56" t="str">
        <f>PROPER(IF($D67="","",VLOOKUP($D67,'[1]ž glavni turnir žrebna lista'!$A$7:$R$38,4)))</f>
        <v>Sara</v>
      </c>
      <c r="Y37" s="58">
        <f t="shared" si="0"/>
        <v>15</v>
      </c>
      <c r="Z37" s="58">
        <f>IF(Y37="","",IF(AND($Q$63=1,U68=U67),30,IF(AND($Q$63=2,U68=U67),15,IF(AND($Q$63=3,U68=U67),10,""))))</f>
      </c>
      <c r="AA37" s="58">
        <f>IF(Z37="","",IF(AND($Q$63=1,U68=U66,U66=U67),60,IF(AND($Q$63=2,U68=U66,U66=U67),30,IF(AND($Q$63=3,U68=U66,U66=U67),20,""))))</f>
      </c>
      <c r="AB37" s="58">
        <f>IF(AA37="","",IF(AND($Q$63=1,U62=U66,U66=U68,U68=U67),120,IF(AND($Q$63=2,U62=U66,U66=U68,U68=U67),60,IF(AND($Q$63=3,U62=U66,U66=U68,U68=U67),40,""))))</f>
      </c>
      <c r="AC37" s="58">
        <f>IF(AB37="","",IF(AND($Q$63=1,$U$67=$U$68,$U$68=$U$66,$U$66=$U$62,$U$62=$U$54),120,IF(AND($Q$63=2,$U$67=$U$68,$U$68=$U$66,$U$66=$U$62,$U$62=$U$54),60,IF(AND($Q$63=3,$U$67=$U$68,$U$68=$U$66,$U$66=$U$62,$U$62=$U$54),40,""))))</f>
      </c>
      <c r="AD37" s="58">
        <f>IF(AC37="","",IF(AND($Q$63=1,$U$67=$U$68,$U$68=$U$66,$U$66=$U$62,$U$62=$U$54,$U$38=$U$54),120,IF(AND($Q$63=2,$U$67=$U$68,$U$68=$U$66,$U$66=$U$62,$U$62=$U$54,$U$38=$U$54),60,IF(AND($Q$63=3,$U$67=$U$68,$U$68=$U$66,$U$66=$U$62,$U$62=$U$54,$U$38=$U$54),40,""))))</f>
      </c>
      <c r="AE37" s="398">
        <f t="shared" si="1"/>
        <v>15</v>
      </c>
      <c r="AF37" s="399"/>
    </row>
    <row r="38" spans="1:32" s="83" customFormat="1" ht="9" customHeight="1">
      <c r="A38" s="89"/>
      <c r="B38" s="90"/>
      <c r="C38" s="90"/>
      <c r="D38" s="90"/>
      <c r="E38" s="76"/>
      <c r="F38" s="91"/>
      <c r="G38" s="92"/>
      <c r="H38" s="91"/>
      <c r="I38" s="110"/>
      <c r="J38" s="76"/>
      <c r="K38" s="119"/>
      <c r="L38" s="76"/>
      <c r="M38" s="343"/>
      <c r="N38" s="351" t="s">
        <v>128</v>
      </c>
      <c r="O38" s="352"/>
      <c r="P38" s="95" t="str">
        <f>UPPER(IF(OR(O39="a",O39="as"),P22,IF(OR(O39="b",O39="bs"),P54,)))</f>
        <v>VOVK</v>
      </c>
      <c r="Q38" s="353"/>
      <c r="R38" s="82"/>
      <c r="S38" s="83">
        <f>UPPER(IF($D38="","",VLOOKUP($D38,'[1]ž glavni turnir žrebna lista'!$A$7:$R$38,1)))</f>
      </c>
      <c r="U38" s="30">
        <f>IF(OR(O39="a",O39="as"),U22,IF(OR(O39="b",O39="bs"),U54,""))</f>
        <v>6593</v>
      </c>
      <c r="V38" s="98">
        <v>32</v>
      </c>
      <c r="W38" s="98" t="str">
        <f>UPPER(IF($D69="","",VLOOKUP($D69,'[1]ž glavni turnir žrebna lista'!$A$7:$R$38,3)))</f>
        <v>VOVK</v>
      </c>
      <c r="X38" s="98" t="str">
        <f>PROPER(IF($D69="","",VLOOKUP($D69,'[1]ž glavni turnir žrebna lista'!$A$7:$R$38,4)))</f>
        <v>Lara</v>
      </c>
      <c r="Y38" s="100">
        <f t="shared" si="0"/>
        <v>15</v>
      </c>
      <c r="Z38" s="100">
        <f>IF(Y38="","",IF(AND($Q$63=1,U69=U68),30,IF(AND($Q$63=2,U69=U68),15,IF(AND($Q$63=3,U69=U68),10,""))))</f>
        <v>15</v>
      </c>
      <c r="AA38" s="100">
        <f>IF(Z38="","",IF(AND($Q$63=1,U69=U66,U66=U68),60,IF(AND($Q$63=2,U69=U66,U66=U68),30,IF(AND($Q$63=3,U69=U66,U66=U68),20,""))))</f>
        <v>30</v>
      </c>
      <c r="AB38" s="100">
        <f>IF(AA38="","",IF(AND($Q$63=1,U62=U66,U66=U68,U68=U69),120,IF(AND($Q$63=2,U62=U66,U66=U68,U68=U69),60,IF(AND($Q$63=3,U62=U66,U66=U68,U68=U69),40,""))))</f>
        <v>60</v>
      </c>
      <c r="AC38" s="100">
        <f>IF(AB38="","",IF(AND($Q$63=1,$U$69=$U$68,$U$68=$U$66,$U$66=$U$62,$U$62=$U$54),120,IF(AND($Q$63=2,$U$69=$U$68,$U$68=$U$66,$U$66=$U$62,$U$62=$U$54),60,IF(AND($Q$63=3,$U$69=$U$68,$U$68=$U$66,$U$66=$U$62,$U$62=$U$54),40,""))))</f>
        <v>60</v>
      </c>
      <c r="AD38" s="100">
        <f>IF(AC38="","",IF(AND($Q$63=1,$U$69=$U$68,$U$68=$U$66,$U$66=$U$62,$U$62=$U$54,$U$38=$U$54),120,IF(AND($Q$63=2,$U$69=$U$68,$U$68=$U$66,$U$66=$U$62,$U$62=$U$54,$U$38=$U$54),60,IF(AND($Q$63=3,$U$69=$U$68,$U$68=$U$66,$U$66=$U$62,$U$62=$U$54,$U$38=$U$54),40,""))))</f>
        <v>60</v>
      </c>
      <c r="AE38" s="401">
        <f t="shared" si="1"/>
        <v>240</v>
      </c>
      <c r="AF38" s="399"/>
    </row>
    <row r="39" spans="1:32" s="83" customFormat="1" ht="9" customHeight="1">
      <c r="A39" s="72">
        <v>17</v>
      </c>
      <c r="B39" s="73" t="str">
        <f>IF($D39="","",VLOOKUP($D39,'[1]ž glavni turnir žrebna lista'!$A$7:$R$38,17))</f>
        <v>D</v>
      </c>
      <c r="C39" s="73">
        <f>IF($D39="","",VLOOKUP($D39,'[1]ž glavni turnir žrebna lista'!$A$7:$R$38,2))</f>
        <v>6278</v>
      </c>
      <c r="D39" s="74">
        <v>8</v>
      </c>
      <c r="E39" s="73" t="str">
        <f>UPPER(IF($D39="","",VLOOKUP($D39,'[1]ž glavni turnir žrebna lista'!$A$7:$R$38,3)))</f>
        <v>HRKAČ</v>
      </c>
      <c r="F39" s="73" t="str">
        <f>PROPER(IF($D39="","",VLOOKUP($D39,'[1]ž glavni turnir žrebna lista'!$A$7:$R$38,4)))</f>
        <v>Kristina</v>
      </c>
      <c r="G39" s="73"/>
      <c r="H39" s="73" t="str">
        <f>IF($D39="","",VLOOKUP($D39,'[1]ž glavni turnir žrebna lista'!$A$7:$R$38,5))</f>
        <v>TR-KR</v>
      </c>
      <c r="I39" s="394">
        <f>IF($D39="","",VLOOKUP($D39,'[1]ž glavni turnir žrebna lista'!$A$7:$R$38,14))</f>
        <v>20</v>
      </c>
      <c r="J39" s="76"/>
      <c r="K39" s="119"/>
      <c r="L39" s="76"/>
      <c r="M39" s="343"/>
      <c r="N39" s="93" t="s">
        <v>23</v>
      </c>
      <c r="O39" s="354" t="s">
        <v>154</v>
      </c>
      <c r="P39" s="76" t="s">
        <v>179</v>
      </c>
      <c r="Q39" s="346"/>
      <c r="R39" s="82"/>
      <c r="U39" s="30">
        <f>IF($D39="","",VLOOKUP($D39,'[1]ž glavni turnir žrebna lista'!$A$7:$R$38,2))</f>
        <v>6278</v>
      </c>
      <c r="V39" s="356"/>
      <c r="W39" s="150"/>
      <c r="X39" s="150"/>
      <c r="Y39" s="36">
        <f aca="true" t="shared" si="2" ref="Y39:AE39">COUNTIF(Y7:Y38,"&gt;0")</f>
        <v>32</v>
      </c>
      <c r="Z39" s="36">
        <f t="shared" si="2"/>
        <v>16</v>
      </c>
      <c r="AA39" s="36">
        <f t="shared" si="2"/>
        <v>8</v>
      </c>
      <c r="AB39" s="36">
        <f t="shared" si="2"/>
        <v>4</v>
      </c>
      <c r="AC39" s="36">
        <f t="shared" si="2"/>
        <v>2</v>
      </c>
      <c r="AD39" s="36">
        <f t="shared" si="2"/>
        <v>1</v>
      </c>
      <c r="AE39" s="36">
        <f t="shared" si="2"/>
        <v>32</v>
      </c>
      <c r="AF39" s="399"/>
    </row>
    <row r="40" spans="1:32" s="83" customFormat="1" ht="9" customHeight="1">
      <c r="A40" s="89"/>
      <c r="B40" s="90"/>
      <c r="C40" s="90"/>
      <c r="D40" s="90"/>
      <c r="E40" s="91"/>
      <c r="F40" s="91"/>
      <c r="G40" s="92"/>
      <c r="H40" s="93" t="s">
        <v>23</v>
      </c>
      <c r="I40" s="94" t="s">
        <v>26</v>
      </c>
      <c r="J40" s="95" t="str">
        <f>UPPER(IF(OR(I40="a",I40="as"),E39,IF(OR(I40="b",I40="bs"),E41,)))</f>
        <v>KLANEČEK</v>
      </c>
      <c r="K40" s="394">
        <f>IF(OR(I40="a",I40="as"),I39,IF(OR(I40="b",I40="bs"),I41,))</f>
        <v>20</v>
      </c>
      <c r="L40" s="76"/>
      <c r="M40" s="343"/>
      <c r="N40" s="78"/>
      <c r="O40" s="79"/>
      <c r="P40" s="78"/>
      <c r="Q40" s="346"/>
      <c r="R40" s="82"/>
      <c r="U40" s="30">
        <f>IF(OR(I40="a",I40="as"),C39,IF(OR(I40="b",I40="bs"),C41,""))</f>
        <v>6520</v>
      </c>
      <c r="V40" s="356"/>
      <c r="W40" s="150">
        <f>UPPER(IF($D40="","",VLOOKUP($D40,'[1]ž glavni turnir žrebna lista'!$A$7:$R$38,3)))</f>
      </c>
      <c r="X40" s="150"/>
      <c r="Y40" s="36"/>
      <c r="Z40" s="36"/>
      <c r="AA40" s="36"/>
      <c r="AB40" s="36"/>
      <c r="AC40" s="36"/>
      <c r="AD40" s="36"/>
      <c r="AE40" s="391"/>
      <c r="AF40" s="399"/>
    </row>
    <row r="41" spans="1:35" s="83" customFormat="1" ht="9" customHeight="1">
      <c r="A41" s="89">
        <v>18</v>
      </c>
      <c r="B41" s="103" t="str">
        <f>IF($D41="","",VLOOKUP($D41,'[1]ž glavni turnir žrebna lista'!$A$7:$R$38,17))</f>
        <v>K</v>
      </c>
      <c r="C41" s="103">
        <f>IF($D41="","",VLOOKUP($D41,'[1]ž glavni turnir žrebna lista'!$A$7:$R$38,2))</f>
        <v>6520</v>
      </c>
      <c r="D41" s="74">
        <v>11</v>
      </c>
      <c r="E41" s="104" t="str">
        <f>UPPER(IF($D41="","",VLOOKUP($D41,'[1]ž glavni turnir žrebna lista'!$A$7:$R$38,3)))</f>
        <v>KLANEČEK</v>
      </c>
      <c r="F41" s="104" t="str">
        <f>PROPER(IF($D41="","",VLOOKUP($D41,'[1]ž glavni turnir žrebna lista'!$A$7:$R$38,4)))</f>
        <v>Saša</v>
      </c>
      <c r="G41" s="104"/>
      <c r="H41" s="104" t="str">
        <f>IF($D41="","",VLOOKUP($D41,'[1]ž glavni turnir žrebna lista'!$A$7:$R$38,5))</f>
        <v>ŽTKMB</v>
      </c>
      <c r="I41" s="402">
        <f>IF($D41="","",VLOOKUP($D41,'[1]ž glavni turnir žrebna lista'!$A$7:$R$38,14))</f>
        <v>20</v>
      </c>
      <c r="J41" s="76" t="s">
        <v>129</v>
      </c>
      <c r="K41" s="107"/>
      <c r="L41" s="76"/>
      <c r="M41" s="343"/>
      <c r="N41" s="78"/>
      <c r="O41" s="79"/>
      <c r="P41" s="78"/>
      <c r="Q41" s="346"/>
      <c r="R41" s="82"/>
      <c r="U41" s="30">
        <f>IF($D41="","",VLOOKUP($D41,'[1]ž glavni turnir žrebna lista'!$A$7:$R$38,2))</f>
        <v>6520</v>
      </c>
      <c r="V41" s="412" t="s">
        <v>102</v>
      </c>
      <c r="W41" s="412"/>
      <c r="X41" s="412"/>
      <c r="Y41" s="412"/>
      <c r="Z41" s="412"/>
      <c r="AA41" s="131"/>
      <c r="AB41" s="131"/>
      <c r="AC41" s="131"/>
      <c r="AD41" s="131"/>
      <c r="AE41" s="132"/>
      <c r="AF41" s="135"/>
      <c r="AG41" s="134" t="s">
        <v>103</v>
      </c>
      <c r="AH41" s="135"/>
      <c r="AI41" s="135"/>
    </row>
    <row r="42" spans="1:35" s="83" customFormat="1" ht="9" customHeight="1">
      <c r="A42" s="89"/>
      <c r="B42" s="90"/>
      <c r="C42" s="90"/>
      <c r="D42" s="109"/>
      <c r="E42" s="91"/>
      <c r="F42" s="91"/>
      <c r="G42" s="92"/>
      <c r="H42" s="91"/>
      <c r="I42" s="110"/>
      <c r="J42" s="93" t="s">
        <v>23</v>
      </c>
      <c r="K42" s="111" t="s">
        <v>27</v>
      </c>
      <c r="L42" s="95" t="str">
        <f>UPPER(IF(OR(K42="a",K42="as"),J40,IF(OR(K42="b",K42="bs"),J44,)))</f>
        <v>KLANEČEK</v>
      </c>
      <c r="M42" s="394">
        <f>IF(OR(K42="a",K42="as"),K40,IF(OR(K42="b",K42="bs"),K44,))</f>
        <v>20</v>
      </c>
      <c r="N42" s="78"/>
      <c r="O42" s="79"/>
      <c r="P42" s="78"/>
      <c r="Q42" s="346"/>
      <c r="R42" s="82"/>
      <c r="U42" s="30">
        <f>IF(OR(K42="a",K42="as"),U40,IF(OR(K42="b",K42="bs"),U44,""))</f>
        <v>6520</v>
      </c>
      <c r="V42" s="135"/>
      <c r="W42" s="133"/>
      <c r="X42" s="136"/>
      <c r="Y42" s="131"/>
      <c r="Z42" s="131"/>
      <c r="AA42" s="131"/>
      <c r="AB42" s="131"/>
      <c r="AC42" s="131"/>
      <c r="AD42" s="131"/>
      <c r="AE42" s="132"/>
      <c r="AF42" s="135"/>
      <c r="AG42" s="135"/>
      <c r="AH42" s="135"/>
      <c r="AI42" s="135"/>
    </row>
    <row r="43" spans="1:35" s="83" customFormat="1" ht="9" customHeight="1">
      <c r="A43" s="89">
        <v>19</v>
      </c>
      <c r="B43" s="103" t="str">
        <f>IF($D43="","",VLOOKUP($D43,'[1]ž glavni turnir žrebna lista'!$A$7:$R$38,17))</f>
        <v>D</v>
      </c>
      <c r="C43" s="103">
        <f>IF($D43="","",VLOOKUP($D43,'[1]ž glavni turnir žrebna lista'!$A$7:$R$38,2))</f>
        <v>8888</v>
      </c>
      <c r="D43" s="74">
        <v>32</v>
      </c>
      <c r="E43" s="104" t="str">
        <f>UPPER(IF($D43="","",VLOOKUP($D43,'[1]ž glavni turnir žrebna lista'!$A$7:$R$38,3)))</f>
        <v>DEVETAK</v>
      </c>
      <c r="F43" s="104" t="str">
        <f>PROPER(IF($D43="","",VLOOKUP($D43,'[1]ž glavni turnir žrebna lista'!$A$7:$R$38,4)))</f>
        <v>Martina</v>
      </c>
      <c r="G43" s="104"/>
      <c r="H43" s="104" t="str">
        <f>IF($D43="","",VLOOKUP($D43,'[1]ž glavni turnir žrebna lista'!$A$7:$R$38,5))</f>
        <v>ITA</v>
      </c>
      <c r="I43" s="394">
        <f>IF($D43="","",VLOOKUP($D43,'[1]ž glavni turnir žrebna lista'!$A$7:$R$38,14))</f>
        <v>10</v>
      </c>
      <c r="J43" s="76"/>
      <c r="K43" s="114"/>
      <c r="L43" s="76" t="s">
        <v>131</v>
      </c>
      <c r="M43" s="345"/>
      <c r="N43" s="78"/>
      <c r="O43" s="79"/>
      <c r="P43" s="78"/>
      <c r="Q43" s="346"/>
      <c r="R43" s="82"/>
      <c r="U43" s="30">
        <f>IF($D43="","",VLOOKUP($D43,'[1]ž glavni turnir žrebna lista'!$A$7:$R$38,2))</f>
        <v>8888</v>
      </c>
      <c r="V43" s="137" t="s">
        <v>18</v>
      </c>
      <c r="W43" s="133" t="s">
        <v>14</v>
      </c>
      <c r="X43" s="133" t="s">
        <v>15</v>
      </c>
      <c r="Y43" s="131" t="s">
        <v>19</v>
      </c>
      <c r="Z43" s="131" t="s">
        <v>92</v>
      </c>
      <c r="AA43" s="131" t="s">
        <v>91</v>
      </c>
      <c r="AB43" s="131" t="s">
        <v>73</v>
      </c>
      <c r="AC43" s="131" t="s">
        <v>16</v>
      </c>
      <c r="AD43" s="131"/>
      <c r="AE43" s="138" t="s">
        <v>22</v>
      </c>
      <c r="AF43" s="135"/>
      <c r="AG43" s="133" t="s">
        <v>14</v>
      </c>
      <c r="AH43" s="133" t="s">
        <v>15</v>
      </c>
      <c r="AI43" s="134" t="s">
        <v>22</v>
      </c>
    </row>
    <row r="44" spans="1:35" s="83" customFormat="1" ht="9" customHeight="1">
      <c r="A44" s="89"/>
      <c r="B44" s="90"/>
      <c r="C44" s="90"/>
      <c r="D44" s="109"/>
      <c r="E44" s="91"/>
      <c r="F44" s="91"/>
      <c r="G44" s="92"/>
      <c r="H44" s="93" t="s">
        <v>23</v>
      </c>
      <c r="I44" s="94" t="s">
        <v>26</v>
      </c>
      <c r="J44" s="95" t="str">
        <f>UPPER(IF(OR(I44="a",I44="as"),E43,IF(OR(I44="b",I44="bs"),E45,)))</f>
        <v>TRATNIK</v>
      </c>
      <c r="K44" s="402">
        <f>IF(OR(I44="a",I44="as"),I43,IF(OR(I44="b",I44="bs"),I45,))</f>
        <v>20</v>
      </c>
      <c r="L44" s="76"/>
      <c r="M44" s="345"/>
      <c r="N44" s="78"/>
      <c r="O44" s="79"/>
      <c r="P44" s="78"/>
      <c r="Q44" s="346"/>
      <c r="R44" s="82"/>
      <c r="U44" s="30">
        <f>IF(OR(I44="a",I44="as"),C43,IF(OR(I44="b",I44="bs"),C45,""))</f>
        <v>6626</v>
      </c>
      <c r="V44" s="133"/>
      <c r="W44" s="133"/>
      <c r="X44" s="133"/>
      <c r="Y44" s="131"/>
      <c r="Z44" s="131"/>
      <c r="AA44" s="131"/>
      <c r="AB44" s="131"/>
      <c r="AC44" s="131"/>
      <c r="AD44" s="131"/>
      <c r="AE44" s="138"/>
      <c r="AF44" s="135"/>
      <c r="AG44" s="133"/>
      <c r="AH44" s="133"/>
      <c r="AI44" s="134"/>
    </row>
    <row r="45" spans="1:35" s="83" customFormat="1" ht="9" customHeight="1">
      <c r="A45" s="89">
        <v>20</v>
      </c>
      <c r="B45" s="103" t="str">
        <f>IF($D45="","",VLOOKUP($D45,'[1]ž glavni turnir žrebna lista'!$A$7:$R$38,17))</f>
        <v>D</v>
      </c>
      <c r="C45" s="104">
        <f>IF($D45="","",VLOOKUP($D45,'[1]ž glavni turnir žrebna lista'!$A$7:$R$38,2))</f>
        <v>6626</v>
      </c>
      <c r="D45" s="74">
        <v>20</v>
      </c>
      <c r="E45" s="104" t="str">
        <f>UPPER(IF($D45="","",VLOOKUP($D45,'[1]ž glavni turnir žrebna lista'!$A$7:$R$38,3)))</f>
        <v>TRATNIK</v>
      </c>
      <c r="F45" s="104" t="str">
        <f>PROPER(IF($D45="","",VLOOKUP($D45,'[1]ž glavni turnir žrebna lista'!$A$7:$R$38,4)))</f>
        <v>Blažka</v>
      </c>
      <c r="G45" s="104"/>
      <c r="H45" s="104" t="str">
        <f>IF($D45="","",VLOOKUP($D45,'[1]ž glavni turnir žrebna lista'!$A$7:$R$38,5))</f>
        <v>IDRIJ</v>
      </c>
      <c r="I45" s="402">
        <f>IF($D45="","",VLOOKUP($D45,'[1]ž glavni turnir žrebna lista'!$A$7:$R$38,14))</f>
        <v>20</v>
      </c>
      <c r="J45" s="76" t="s">
        <v>130</v>
      </c>
      <c r="K45" s="119"/>
      <c r="L45" s="76"/>
      <c r="M45" s="345"/>
      <c r="N45" s="78"/>
      <c r="O45" s="79"/>
      <c r="P45" s="78"/>
      <c r="Q45" s="346"/>
      <c r="R45" s="82"/>
      <c r="U45" s="30">
        <f>IF($D45="","",VLOOKUP($D45,'[1]ž glavni turnir žrebna lista'!$A$7:$R$38,2))</f>
        <v>6626</v>
      </c>
      <c r="V45" s="133">
        <v>1</v>
      </c>
      <c r="W45" s="133" t="str">
        <f>UPPER(IF($D$7="","",VLOOKUP($D$7,'[1]ž glavni turnir žrebna lista'!$A$7:$R$38,3)))</f>
        <v>OPARENOVIČ</v>
      </c>
      <c r="X45" s="133" t="str">
        <f>PROPER(IF($D$7="","",VLOOKUP($D$7,'[1]ž glavni turnir žrebna lista'!$A$7:$R$38,4)))</f>
        <v>Ana</v>
      </c>
      <c r="Y45" s="142">
        <f>IF($W$45="","",IF($U$7&lt;&gt;$U$8,"",IF($J$9="bb",1,IF($J$9="","0",$I$9))))</f>
        <v>20</v>
      </c>
      <c r="Z45" s="131">
        <f>IF($W$45="","",IF($U$10&lt;&gt;$U$7,"",IF($L$11="bb",1,IF($L$11="","0",$K$12))))</f>
        <v>20</v>
      </c>
      <c r="AA45" s="131">
        <f>IF($W$45="","",IF($U$14&lt;&gt;$U$7,"",IF($N$15="bb",1,IF($N$15="","0",$M$18))))</f>
        <v>30</v>
      </c>
      <c r="AB45" s="131">
        <f>IF($W$45="","",IF($U$22&lt;&gt;$U$7,"",IF($P$23="bb",1,IF($P$23="","0",$O$30))))</f>
        <v>30</v>
      </c>
      <c r="AC45" s="131">
        <f>IF($W$45="","",IF($U$38&lt;&gt;$U$7,"",IF($P$39="bb",1,IF($P$39="","0",$Q$54))))</f>
      </c>
      <c r="AD45" s="131"/>
      <c r="AE45" s="358">
        <f aca="true" t="shared" si="3" ref="AE45:AE76">IF($C$2="B turnir",SUM(Y45:AD45)*0.1,SUM(Y45:AD45))</f>
        <v>100</v>
      </c>
      <c r="AF45" s="133">
        <f>IF($C7="","",'ž glavni 32'!$C$7)</f>
        <v>6453</v>
      </c>
      <c r="AG45" s="133" t="str">
        <f>UPPER(IF($D$7="","",VLOOKUP($D$7,'[1]ž glavni turnir žrebna lista'!$A$7:$R$38,3)))</f>
        <v>OPARENOVIČ</v>
      </c>
      <c r="AH45" s="133" t="str">
        <f>PROPER(IF($D$7="","",VLOOKUP($D$7,'[1]ž glavni turnir žrebna lista'!$A$7:$R$38,4)))</f>
        <v>Ana</v>
      </c>
      <c r="AI45" s="358">
        <f aca="true" t="shared" si="4" ref="AI45:AI76">SUM(AE7,AE45)</f>
        <v>280</v>
      </c>
    </row>
    <row r="46" spans="1:35" s="83" customFormat="1" ht="9" customHeight="1">
      <c r="A46" s="89"/>
      <c r="B46" s="90"/>
      <c r="C46" s="90"/>
      <c r="D46" s="109"/>
      <c r="E46" s="76"/>
      <c r="F46" s="76"/>
      <c r="G46" s="120"/>
      <c r="H46" s="121"/>
      <c r="I46" s="110"/>
      <c r="J46" s="76"/>
      <c r="K46" s="119"/>
      <c r="L46" s="93" t="s">
        <v>23</v>
      </c>
      <c r="M46" s="111" t="s">
        <v>75</v>
      </c>
      <c r="N46" s="95" t="str">
        <f>UPPER(IF(OR(M46="a",M46="as"),L42,IF(OR(M46="b",M46="bs"),L50,)))</f>
        <v>EMERŠIČ LJUBIČ</v>
      </c>
      <c r="O46" s="394">
        <f>IF(OR(M46="a",M46="as"),M42,IF(OR(M46="b",M46="bs"),M50,))</f>
        <v>30</v>
      </c>
      <c r="P46" s="78"/>
      <c r="Q46" s="346"/>
      <c r="R46" s="82"/>
      <c r="U46" s="30">
        <f>IF(OR(M46="a",M46="as"),U42,IF(OR(M46="b",M46="bs"),U50,""))</f>
        <v>6236</v>
      </c>
      <c r="V46" s="133">
        <v>2</v>
      </c>
      <c r="W46" s="133" t="str">
        <f>UPPER(IF($D$9="","",VLOOKUP($D$9,'[1]ž glavni turnir žrebna lista'!$A$7:$R$38,3)))</f>
        <v>JANČIČ</v>
      </c>
      <c r="X46" s="133" t="str">
        <f>PROPER(IF($D$9="","",VLOOKUP($D$9,'[1]ž glavni turnir žrebna lista'!$A$7:$R$38,4)))</f>
        <v>Maša</v>
      </c>
      <c r="Y46" s="131">
        <f>IF(W46="","",IF($U$9&lt;&gt;$U$8,"",IF($J$9="bb",1,IF($J$9="","0",$I$7))))</f>
      </c>
      <c r="Z46" s="131">
        <f>IF($W$45="","",IF($U$10&lt;&gt;$U$9,"",IF($L$11="bb",1,IF($L$11="","0",$K$12))))</f>
      </c>
      <c r="AA46" s="131">
        <f>IF($W$45="","",IF($U$14&lt;&gt;$U$9,"",IF($N$15="bb",1,IF($N$15="","0",$M$18))))</f>
      </c>
      <c r="AB46" s="131">
        <f>IF($W$45="","",IF($U$22&lt;&gt;$U$9,"",IF($P$23="bb",1,IF($P$23="","0",$O$30))))</f>
      </c>
      <c r="AC46" s="131">
        <f>IF($W$45="","",IF($U$38&lt;&gt;$U$9,"",IF($P$39="bb",1,IF($P$39="","0",$Q$54))))</f>
      </c>
      <c r="AD46" s="131"/>
      <c r="AE46" s="358">
        <f t="shared" si="3"/>
        <v>0</v>
      </c>
      <c r="AF46" s="133">
        <f>IF($C9="","",'ž glavni 32'!$C$9)</f>
        <v>6240</v>
      </c>
      <c r="AG46" s="133" t="str">
        <f>UPPER(IF($D$9="","",VLOOKUP($D$9,'[1]ž glavni turnir žrebna lista'!$A$7:$R$38,3)))</f>
        <v>JANČIČ</v>
      </c>
      <c r="AH46" s="133" t="str">
        <f>PROPER(IF($D$9="","",VLOOKUP($D$9,'[1]ž glavni turnir žrebna lista'!$A$7:$R$38,4)))</f>
        <v>Maša</v>
      </c>
      <c r="AI46" s="358">
        <f t="shared" si="4"/>
        <v>15</v>
      </c>
    </row>
    <row r="47" spans="1:35" s="83" customFormat="1" ht="9" customHeight="1">
      <c r="A47" s="89">
        <v>21</v>
      </c>
      <c r="B47" s="103" t="str">
        <f>IF($D47="","",VLOOKUP($D47,'[1]ž glavni turnir žrebna lista'!$A$7:$R$38,17))</f>
        <v>K</v>
      </c>
      <c r="C47" s="104">
        <f>IF($D47="","",VLOOKUP($D47,'[1]ž glavni turnir žrebna lista'!$A$7:$R$38,2))</f>
        <v>6916</v>
      </c>
      <c r="D47" s="74">
        <v>30</v>
      </c>
      <c r="E47" s="104" t="str">
        <f>UPPER(IF($D47="","",VLOOKUP($D47,'[1]ž glavni turnir žrebna lista'!$A$7:$R$38,3)))</f>
        <v>MAKAROVIČ</v>
      </c>
      <c r="F47" s="104" t="str">
        <f>PROPER(IF($D47="","",VLOOKUP($D47,'[1]ž glavni turnir žrebna lista'!$A$7:$R$38,4)))</f>
        <v>Anika</v>
      </c>
      <c r="G47" s="104"/>
      <c r="H47" s="104" t="str">
        <f>IF($D47="","",VLOOKUP($D47,'[1]ž glavni turnir žrebna lista'!$A$7:$R$38,5))</f>
        <v>MAJA</v>
      </c>
      <c r="I47" s="394">
        <f>IF($D47="","",VLOOKUP($D47,'[1]ž glavni turnir žrebna lista'!$A$7:$R$38,14))</f>
        <v>10</v>
      </c>
      <c r="J47" s="76"/>
      <c r="K47" s="119"/>
      <c r="L47" s="76"/>
      <c r="M47" s="345"/>
      <c r="N47" s="76" t="s">
        <v>158</v>
      </c>
      <c r="O47" s="346"/>
      <c r="P47" s="78"/>
      <c r="Q47" s="346"/>
      <c r="R47" s="82"/>
      <c r="U47" s="30">
        <f>IF($D47="","",VLOOKUP($D47,'[1]ž glavni turnir žrebna lista'!$A$7:$R$38,2))</f>
        <v>6916</v>
      </c>
      <c r="V47" s="133">
        <v>3</v>
      </c>
      <c r="W47" s="133" t="str">
        <f>UPPER(IF($D$11="","",VLOOKUP($D$11,'[1]ž glavni turnir žrebna lista'!$A$7:$R$38,3)))</f>
        <v>KASTELIC</v>
      </c>
      <c r="X47" s="133" t="str">
        <f>PROPER(IF($D$11="","",VLOOKUP($D$11,'[1]ž glavni turnir žrebna lista'!$A$7:$R$38,4)))</f>
        <v>Žoel</v>
      </c>
      <c r="Y47" s="131">
        <f>IF(W47="","",IF($U$11&lt;&gt;$U$12,"",IF($J$13="bb",1,IF($J$13="","0",$I$13))))</f>
      </c>
      <c r="Z47" s="131">
        <f>IF($W$45="","",IF($U$10&lt;&gt;$U$11,"",IF($L$11="bb",1,IF($L$11="","0",$K$8))))</f>
      </c>
      <c r="AA47" s="131">
        <f>IF($W$45="","",IF($U$14&lt;&gt;$U$11,"",IF($N$15="bb",1,IF($N$15="","0",$M$18))))</f>
      </c>
      <c r="AB47" s="131">
        <f>IF($W$45="","",IF($U$22&lt;&gt;$U11,"",IF($P$23="bb",1,IF($P$23="","0",$O$30))))</f>
      </c>
      <c r="AC47" s="131">
        <f>IF($W$45="","",IF($U$38&lt;&gt;$U$11,"",IF($P$39="bb",1,IF($P$39="","0",$Q$54))))</f>
      </c>
      <c r="AD47" s="131"/>
      <c r="AE47" s="358">
        <f t="shared" si="3"/>
        <v>0</v>
      </c>
      <c r="AF47" s="133">
        <f>IF($C11="","",'ž glavni 32'!$C$11)</f>
        <v>7437</v>
      </c>
      <c r="AG47" s="133" t="str">
        <f>UPPER(IF($D$11="","",VLOOKUP($D$11,'[1]ž glavni turnir žrebna lista'!$A$7:$R$38,3)))</f>
        <v>KASTELIC</v>
      </c>
      <c r="AH47" s="133" t="str">
        <f>PROPER(IF($D$11="","",VLOOKUP($D$11,'[1]ž glavni turnir žrebna lista'!$A$7:$R$38,4)))</f>
        <v>Žoel</v>
      </c>
      <c r="AI47" s="358">
        <f t="shared" si="4"/>
        <v>15</v>
      </c>
    </row>
    <row r="48" spans="1:35" s="83" customFormat="1" ht="9" customHeight="1">
      <c r="A48" s="89"/>
      <c r="B48" s="90"/>
      <c r="C48" s="90"/>
      <c r="D48" s="109"/>
      <c r="E48" s="91"/>
      <c r="F48" s="91"/>
      <c r="G48" s="92"/>
      <c r="H48" s="93" t="s">
        <v>23</v>
      </c>
      <c r="I48" s="94" t="s">
        <v>27</v>
      </c>
      <c r="J48" s="95" t="str">
        <f>UPPER(IF(OR(I48="a",I48="as"),E47,IF(OR(I48="b",I48="bs"),E49,)))</f>
        <v>MAKAROVIČ</v>
      </c>
      <c r="K48" s="394">
        <f>IF(OR(I48="a",I48="as"),I47,IF(OR(I48="b",I48="bs"),I49,))</f>
        <v>10</v>
      </c>
      <c r="L48" s="76"/>
      <c r="M48" s="345"/>
      <c r="N48" s="78"/>
      <c r="O48" s="346"/>
      <c r="P48" s="78"/>
      <c r="Q48" s="346"/>
      <c r="R48" s="82"/>
      <c r="U48" s="30">
        <f>IF(OR(I48="a",I48="as"),C47,IF(OR(I48="b",I48="bs"),C49,""))</f>
        <v>6916</v>
      </c>
      <c r="V48" s="133">
        <v>4</v>
      </c>
      <c r="W48" s="133" t="str">
        <f>UPPER(IF($D$13="","",VLOOKUP($D$13,'[1]ž glavni turnir žrebna lista'!$A$7:$R$38,3)))</f>
        <v>LAPAJNE</v>
      </c>
      <c r="X48" s="133" t="str">
        <f>PROPER(IF($D$13="","",VLOOKUP($D$13,'[1]ž glavni turnir žrebna lista'!$A$7:$R$38,4)))</f>
        <v>Žana</v>
      </c>
      <c r="Y48" s="131">
        <f>IF(W48="","",IF($U$12&lt;&gt;$U$13,"",IF($J$13="bb",1,IF($J$13="","0",$I$11))))</f>
        <v>20</v>
      </c>
      <c r="Z48" s="131">
        <f>IF($W$45="","",IF($U$10&lt;&gt;$U$13,"",IF($L$11="bb",1,IF($L$11="","0",$K$8))))</f>
      </c>
      <c r="AA48" s="131">
        <f>IF($W$45="","",IF($U$14&lt;&gt;$U$13,"",IF($N$15="bb",1,IF($N$15="","0",$M$18))))</f>
      </c>
      <c r="AB48" s="131">
        <f>IF($W$45="","",IF($U$22&lt;&gt;$U$13,"",IF($P$23="bb",1,IF($P$23="","0",$O$30))))</f>
      </c>
      <c r="AC48" s="131">
        <f>IF($W$45="","",IF($U$38&lt;&gt;$U$13,"",IF($P$39="bb",1,IF($P$39="","0",$Q$54))))</f>
      </c>
      <c r="AD48" s="131"/>
      <c r="AE48" s="358">
        <f t="shared" si="3"/>
        <v>20</v>
      </c>
      <c r="AF48" s="133">
        <f>IF($C13="","",'ž glavni 32'!$C$13)</f>
        <v>6819</v>
      </c>
      <c r="AG48" s="133" t="str">
        <f>UPPER(IF($D$13="","",VLOOKUP($D$13,'[1]ž glavni turnir žrebna lista'!$A$7:$R$38,3)))</f>
        <v>LAPAJNE</v>
      </c>
      <c r="AH48" s="133" t="str">
        <f>PROPER(IF($D$13="","",VLOOKUP($D$13,'[1]ž glavni turnir žrebna lista'!$A$7:$R$38,4)))</f>
        <v>Žana</v>
      </c>
      <c r="AI48" s="358">
        <f t="shared" si="4"/>
        <v>50</v>
      </c>
    </row>
    <row r="49" spans="1:35" s="83" customFormat="1" ht="9" customHeight="1">
      <c r="A49" s="89">
        <v>22</v>
      </c>
      <c r="B49" s="103" t="str">
        <f>IF($D49="","",VLOOKUP($D49,'[1]ž glavni turnir žrebna lista'!$A$7:$R$38,17))</f>
        <v>K</v>
      </c>
      <c r="C49" s="103">
        <f>IF($D49="","",VLOOKUP($D49,'[1]ž glavni turnir žrebna lista'!$A$7:$R$38,2))</f>
        <v>6836</v>
      </c>
      <c r="D49" s="74">
        <v>27</v>
      </c>
      <c r="E49" s="104" t="str">
        <f>UPPER(IF($D49="","",VLOOKUP($D49,'[1]ž glavni turnir žrebna lista'!$A$7:$R$38,3)))</f>
        <v>ZUKIČ</v>
      </c>
      <c r="F49" s="104" t="str">
        <f>PROPER(IF($D49="","",VLOOKUP($D49,'[1]ž glavni turnir žrebna lista'!$A$7:$R$38,4)))</f>
        <v>Sandra</v>
      </c>
      <c r="G49" s="104"/>
      <c r="H49" s="104" t="str">
        <f>IF($D49="","",VLOOKUP($D49,'[1]ž glavni turnir žrebna lista'!$A$7:$R$38,5))</f>
        <v>KOPER</v>
      </c>
      <c r="I49" s="402">
        <f>IF($D49="","",VLOOKUP($D49,'[1]ž glavni turnir žrebna lista'!$A$7:$R$38,14))</f>
        <v>10</v>
      </c>
      <c r="J49" s="76" t="s">
        <v>131</v>
      </c>
      <c r="K49" s="107"/>
      <c r="L49" s="76"/>
      <c r="M49" s="345"/>
      <c r="N49" s="78"/>
      <c r="O49" s="346"/>
      <c r="P49" s="78"/>
      <c r="Q49" s="346"/>
      <c r="R49" s="82"/>
      <c r="U49" s="30">
        <f>IF($D49="","",VLOOKUP($D49,'[1]ž glavni turnir žrebna lista'!$A$7:$R$38,2))</f>
        <v>6836</v>
      </c>
      <c r="V49" s="133">
        <v>5</v>
      </c>
      <c r="W49" s="133" t="str">
        <f>UPPER(IF($D$15="","",VLOOKUP($D$15,'[1]ž glavni turnir žrebna lista'!$A$7:$R$38,3)))</f>
        <v>KOŠNIK</v>
      </c>
      <c r="X49" s="133" t="str">
        <f>PROPER(IF($D$15="","",VLOOKUP($D$15,'[1]ž glavni turnir žrebna lista'!$A$7:$R$38,4)))</f>
        <v>Karin</v>
      </c>
      <c r="Y49" s="131">
        <f>IF(W49="","",IF($U$16&lt;&gt;$U$15,"",IF($J$17="bb",1,IF($J$17="","0",$I$17))))</f>
      </c>
      <c r="Z49" s="131">
        <f>IF($W$45="","",IF($U$18&lt;&gt;$U$15,"",IF($L$19="bb",1,IF($L$19="","0",$K$20))))</f>
      </c>
      <c r="AA49" s="131">
        <f>IF($W$45="","",IF($U$14&lt;&gt;$U$15,"",IF($N$15="bb",1,IF($N$15="","0",$M$10))))</f>
      </c>
      <c r="AB49" s="131">
        <f>IF($W$45="","",IF($U$22&lt;&gt;$U$15,"",IF($P$23="bb",1,IF($P$23="","0",$O$30))))</f>
      </c>
      <c r="AC49" s="131">
        <f>IF($W$45="","",IF($U$38&lt;&gt;$U$15,"",IF($P$39="bb",1,IF($P$39="","0",$Q$54))))</f>
      </c>
      <c r="AD49" s="131"/>
      <c r="AE49" s="358">
        <f t="shared" si="3"/>
        <v>0</v>
      </c>
      <c r="AF49" s="133">
        <f>IF($C15="","",'ž glavni 32'!$C$15)</f>
        <v>6282</v>
      </c>
      <c r="AG49" s="133" t="str">
        <f>UPPER(IF($D$15="","",VLOOKUP($D$15,'[1]ž glavni turnir žrebna lista'!$A$7:$R$38,3)))</f>
        <v>KOŠNIK</v>
      </c>
      <c r="AH49" s="133" t="str">
        <f>PROPER(IF($D$15="","",VLOOKUP($D$15,'[1]ž glavni turnir žrebna lista'!$A$7:$R$38,4)))</f>
        <v>Karin</v>
      </c>
      <c r="AI49" s="358">
        <f t="shared" si="4"/>
        <v>15</v>
      </c>
    </row>
    <row r="50" spans="1:35" s="83" customFormat="1" ht="9" customHeight="1">
      <c r="A50" s="89"/>
      <c r="B50" s="90"/>
      <c r="C50" s="90"/>
      <c r="D50" s="109"/>
      <c r="E50" s="91"/>
      <c r="F50" s="91"/>
      <c r="G50" s="92"/>
      <c r="H50" s="76"/>
      <c r="I50" s="110"/>
      <c r="J50" s="93" t="s">
        <v>23</v>
      </c>
      <c r="K50" s="111" t="s">
        <v>75</v>
      </c>
      <c r="L50" s="95" t="str">
        <f>UPPER(IF(OR(K50="a",K50="as"),J48,IF(OR(K50="b",K50="bs"),J52,)))</f>
        <v>EMERŠIČ LJUBIČ</v>
      </c>
      <c r="M50" s="402">
        <f>IF(OR(K50="a",K50="as"),K48,IF(OR(K50="b",K50="bs"),K52,))</f>
        <v>30</v>
      </c>
      <c r="N50" s="78"/>
      <c r="O50" s="346"/>
      <c r="P50" s="78"/>
      <c r="Q50" s="346"/>
      <c r="R50" s="82"/>
      <c r="U50" s="30">
        <f>IF(OR(K50="a",K50="as"),U48,IF(OR(K50="b",K50="bs"),U52,""))</f>
        <v>6236</v>
      </c>
      <c r="V50" s="133">
        <v>6</v>
      </c>
      <c r="W50" s="133" t="str">
        <f>UPPER(IF($D$17="","",VLOOKUP($D$17,'[1]ž glavni turnir žrebna lista'!$A$7:$R$38,3)))</f>
        <v>BURJA</v>
      </c>
      <c r="X50" s="133" t="str">
        <f>PROPER(IF($D$17="","",VLOOKUP($D$17,'[1]ž glavni turnir žrebna lista'!$A$7:$R$38,4)))</f>
        <v>Žana</v>
      </c>
      <c r="Y50" s="131">
        <f>IF(W50="","",IF($U$16&lt;&gt;$U$17,"",IF($J$17="bb",1,IF($J$17="","0",$I$15))))</f>
        <v>20</v>
      </c>
      <c r="Z50" s="131">
        <f>IF($W$45="","",IF($U$18&lt;&gt;$U$17,"",IF($L$19="bb",1,IF($L$19="","0",$K$20))))</f>
      </c>
      <c r="AA50" s="131">
        <f>IF($W$45="","",IF($U$14&lt;&gt;$U$17,"",IF($N$15="bb",1,IF($N$15="","0",$M$10))))</f>
      </c>
      <c r="AB50" s="131">
        <f>IF($W$45="","",IF($U$22&lt;&gt;$U$17,"",IF($P$23="bb",1,IF($P$23="","0",$O$30))))</f>
      </c>
      <c r="AC50" s="131">
        <f>IF($W$45="","",IF($U$38&lt;&gt;$U$17,"",IF($P$39="bb",1,IF($P$39="","0",$Q$54))))</f>
      </c>
      <c r="AD50" s="131"/>
      <c r="AE50" s="358">
        <f t="shared" si="3"/>
        <v>20</v>
      </c>
      <c r="AF50" s="133">
        <f>IF($C17="","",'ž glavni 32'!$C$17)</f>
        <v>6491</v>
      </c>
      <c r="AG50" s="133" t="str">
        <f>UPPER(IF($D$17="","",VLOOKUP($D$17,'[1]ž glavni turnir žrebna lista'!$A$7:$R$38,3)))</f>
        <v>BURJA</v>
      </c>
      <c r="AH50" s="133" t="str">
        <f>PROPER(IF($D$17="","",VLOOKUP($D$17,'[1]ž glavni turnir žrebna lista'!$A$7:$R$38,4)))</f>
        <v>Žana</v>
      </c>
      <c r="AI50" s="358">
        <f t="shared" si="4"/>
        <v>50</v>
      </c>
    </row>
    <row r="51" spans="1:35" s="83" customFormat="1" ht="9" customHeight="1">
      <c r="A51" s="89">
        <v>23</v>
      </c>
      <c r="B51" s="103" t="str">
        <f>IF($D51="","",VLOOKUP($D51,'[1]ž glavni turnir žrebna lista'!$A$7:$R$38,17))</f>
        <v>D</v>
      </c>
      <c r="C51" s="103">
        <f>IF($D51="","",VLOOKUP($D51,'[1]ž glavni turnir žrebna lista'!$A$7:$R$38,2))</f>
        <v>6837</v>
      </c>
      <c r="D51" s="74">
        <v>24</v>
      </c>
      <c r="E51" s="104" t="str">
        <f>UPPER(IF($D51="","",VLOOKUP($D51,'[1]ž glavni turnir žrebna lista'!$A$7:$R$38,3)))</f>
        <v>ŠARABON</v>
      </c>
      <c r="F51" s="104" t="str">
        <f>PROPER(IF($D51="","",VLOOKUP($D51,'[1]ž glavni turnir žrebna lista'!$A$7:$R$38,4)))</f>
        <v>Lara</v>
      </c>
      <c r="G51" s="104"/>
      <c r="H51" s="104" t="str">
        <f>IF($D51="","",VLOOKUP($D51,'[1]ž glavni turnir žrebna lista'!$A$7:$R$38,5))</f>
        <v>RADOV</v>
      </c>
      <c r="I51" s="394">
        <f>IF($D51="","",VLOOKUP($D51,'[1]ž glavni turnir žrebna lista'!$A$7:$R$38,14))</f>
        <v>10</v>
      </c>
      <c r="J51" s="76"/>
      <c r="K51" s="114"/>
      <c r="L51" s="76" t="s">
        <v>149</v>
      </c>
      <c r="M51" s="343"/>
      <c r="N51" s="78"/>
      <c r="O51" s="346"/>
      <c r="P51" s="78"/>
      <c r="Q51" s="346"/>
      <c r="R51" s="82"/>
      <c r="U51" s="30">
        <f>IF($D51="","",VLOOKUP($D51,'[1]ž glavni turnir žrebna lista'!$A$7:$R$38,2))</f>
        <v>6837</v>
      </c>
      <c r="V51" s="133">
        <v>7</v>
      </c>
      <c r="W51" s="133" t="str">
        <f>UPPER(IF($D$19="","",VLOOKUP($D$19,'[1]ž glavni turnir žrebna lista'!$A$7:$R$38,3)))</f>
        <v>TOMIČ EGART</v>
      </c>
      <c r="X51" s="133" t="str">
        <f>PROPER(IF($D$19="","",VLOOKUP($D$19,'[1]ž glavni turnir žrebna lista'!$A$7:$R$38,4)))</f>
        <v>Žana</v>
      </c>
      <c r="Y51" s="131">
        <f>IF(W51="","",IF($U$20&lt;&gt;$U$19,"",IF($J$21="bb",1,IF($J$21="","0",$I$21))))</f>
      </c>
      <c r="Z51" s="131">
        <f>IF($W$45="","",IF($U$18&lt;&gt;$U$19,"",IF($L$19="bb",1,IF($L$19="","0",$K$16))))</f>
      </c>
      <c r="AA51" s="131">
        <f>IF($W$45="","",IF($U$14&lt;&gt;$U$19,"",IF($N$15="bb",1,IF($N$15="","0",$M$10))))</f>
      </c>
      <c r="AB51" s="131">
        <f>IF($W$45="","",IF($U$22&lt;&gt;$U$19,"",IF($P$23="bb",1,IF($P$23="","0",$O$30))))</f>
      </c>
      <c r="AC51" s="131">
        <f>IF($W$45="","",IF($U$38&lt;&gt;$U$19,"",IF($P$39="bb",1,IF($P$39="","0",$Q$54))))</f>
      </c>
      <c r="AD51" s="131"/>
      <c r="AE51" s="358">
        <f t="shared" si="3"/>
        <v>0</v>
      </c>
      <c r="AF51" s="133">
        <f>IF($C19="","",'ž glavni 32'!$C$19)</f>
        <v>6527</v>
      </c>
      <c r="AG51" s="133" t="str">
        <f>UPPER(IF($D$19="","",VLOOKUP($D$19,'[1]ž glavni turnir žrebna lista'!$A$7:$R$38,3)))</f>
        <v>TOMIČ EGART</v>
      </c>
      <c r="AH51" s="133" t="str">
        <f>PROPER(IF($D$19="","",VLOOKUP($D$19,'[1]ž glavni turnir žrebna lista'!$A$7:$R$38,4)))</f>
        <v>Žana</v>
      </c>
      <c r="AI51" s="358">
        <f t="shared" si="4"/>
        <v>15</v>
      </c>
    </row>
    <row r="52" spans="1:35" s="83" customFormat="1" ht="9" customHeight="1">
      <c r="A52" s="89"/>
      <c r="B52" s="90"/>
      <c r="C52" s="90"/>
      <c r="D52" s="90"/>
      <c r="E52" s="91"/>
      <c r="F52" s="91"/>
      <c r="G52" s="92"/>
      <c r="H52" s="93" t="s">
        <v>23</v>
      </c>
      <c r="I52" s="94" t="s">
        <v>75</v>
      </c>
      <c r="J52" s="95" t="str">
        <f>UPPER(IF(OR(I52="a",I52="as"),E51,IF(OR(I52="b",I52="bs"),E53,)))</f>
        <v>EMERŠIČ LJUBIČ</v>
      </c>
      <c r="K52" s="402">
        <f>IF(OR(I52="a",I52="as"),I51,IF(OR(I52="b",I52="bs"),I53,))</f>
        <v>30</v>
      </c>
      <c r="L52" s="76"/>
      <c r="M52" s="343"/>
      <c r="N52" s="78"/>
      <c r="O52" s="346"/>
      <c r="P52" s="78"/>
      <c r="Q52" s="346"/>
      <c r="R52" s="82"/>
      <c r="U52" s="30">
        <f>IF(OR(I52="a",I52="as"),C51,IF(OR(I52="b",I52="bs"),C53,""))</f>
        <v>6236</v>
      </c>
      <c r="V52" s="133">
        <v>8</v>
      </c>
      <c r="W52" s="133" t="str">
        <f>UPPER(IF($D$21="","",VLOOKUP($D$21,'[1]ž glavni turnir žrebna lista'!$A$7:$R$38,3)))</f>
        <v>REJC</v>
      </c>
      <c r="X52" s="133" t="str">
        <f>PROPER(IF($D$21="","",VLOOKUP($D$21,'[1]ž glavni turnir žrebna lista'!$A$7:$R$38,4)))</f>
        <v>Simona</v>
      </c>
      <c r="Y52" s="131">
        <f>IF(W52="","",IF($U$20&lt;&gt;$U$21,"",IF($J$21="bb",1,IF($J$21="","0",$I$19))))</f>
        <v>20</v>
      </c>
      <c r="Z52" s="131">
        <f>IF($W$45="","",IF($U$18&lt;&gt;$U$21,"",IF($L$19="bb",1,IF($L$19="","0",$K$16))))</f>
        <v>10</v>
      </c>
      <c r="AA52" s="131">
        <f>IF($W$45="","",IF($U$14&lt;&gt;$U$21,"",IF($N$15="bb",1,IF($N$15="","0",$M$10))))</f>
      </c>
      <c r="AB52" s="131">
        <f>IF($W$45="","",IF($U$22&lt;&gt;$U$21,"",IF($P$23="bb",1,IF($P$23="","0",$O$30))))</f>
      </c>
      <c r="AC52" s="131">
        <f>IF($W$45="","",IF($U$38&lt;&gt;$U$21,"",IF($P$39="bb",1,IF($P$39="","0",$Q$54))))</f>
      </c>
      <c r="AD52" s="131"/>
      <c r="AE52" s="358">
        <f t="shared" si="3"/>
        <v>30</v>
      </c>
      <c r="AF52" s="133">
        <f>IF($C21="","",'ž glavni 32'!$C$21)</f>
        <v>6144</v>
      </c>
      <c r="AG52" s="133" t="str">
        <f>UPPER(IF($D$21="","",VLOOKUP($D$21,'[1]ž glavni turnir žrebna lista'!$A$7:$R$38,3)))</f>
        <v>REJC</v>
      </c>
      <c r="AH52" s="133" t="str">
        <f>PROPER(IF($D$21="","",VLOOKUP($D$21,'[1]ž glavni turnir žrebna lista'!$A$7:$R$38,4)))</f>
        <v>Simona</v>
      </c>
      <c r="AI52" s="358">
        <f t="shared" si="4"/>
        <v>90</v>
      </c>
    </row>
    <row r="53" spans="1:35" s="83" customFormat="1" ht="9" customHeight="1">
      <c r="A53" s="72">
        <v>24</v>
      </c>
      <c r="B53" s="73" t="str">
        <f>IF($D53="","",VLOOKUP($D53,'[1]ž glavni turnir žrebna lista'!$A$7:$R$38,17))</f>
        <v>D</v>
      </c>
      <c r="C53" s="73">
        <f>IF($D53="","",VLOOKUP($D53,'[1]ž glavni turnir žrebna lista'!$A$7:$R$38,2))</f>
        <v>6236</v>
      </c>
      <c r="D53" s="74">
        <v>4</v>
      </c>
      <c r="E53" s="73" t="str">
        <f>UPPER(IF($D53="","",VLOOKUP($D53,'[1]ž glavni turnir žrebna lista'!$A$7:$R$38,3)))</f>
        <v>EMERŠIČ LJUBIČ</v>
      </c>
      <c r="F53" s="73" t="str">
        <f>PROPER(IF($D53="","",VLOOKUP($D53,'[1]ž glavni turnir žrebna lista'!$A$7:$R$38,4)))</f>
        <v>Kaja</v>
      </c>
      <c r="G53" s="73"/>
      <c r="H53" s="73" t="str">
        <f>IF($D53="","",VLOOKUP($D53,'[1]ž glavni turnir žrebna lista'!$A$7:$R$38,5))</f>
        <v>DOMŽA</v>
      </c>
      <c r="I53" s="402">
        <f>IF($D53="","",VLOOKUP($D53,'[1]ž glavni turnir žrebna lista'!$A$7:$R$38,14))</f>
        <v>30</v>
      </c>
      <c r="J53" s="76" t="s">
        <v>125</v>
      </c>
      <c r="K53" s="119"/>
      <c r="L53" s="76"/>
      <c r="M53" s="343"/>
      <c r="N53" s="78"/>
      <c r="O53" s="346"/>
      <c r="P53" s="78"/>
      <c r="Q53" s="346"/>
      <c r="R53" s="82"/>
      <c r="U53" s="30">
        <f>IF($D53="","",VLOOKUP($D53,'[1]ž glavni turnir žrebna lista'!$A$7:$R$38,2))</f>
        <v>6236</v>
      </c>
      <c r="V53" s="133">
        <v>9</v>
      </c>
      <c r="W53" s="133" t="str">
        <f>UPPER(IF($D$23="","",VLOOKUP($D$23,'[1]ž glavni turnir žrebna lista'!$A$7:$R$38,3)))</f>
        <v>JERŠE</v>
      </c>
      <c r="X53" s="133" t="str">
        <f>PROPER(IF($D$23="","",VLOOKUP($D$23,'[1]ž glavni turnir žrebna lista'!$A$7:$R$38,4)))</f>
        <v>Tjaša</v>
      </c>
      <c r="Y53" s="131">
        <f>IF(W53="","",IF($U$24&lt;&gt;$U$23,"",IF($J$25="bb",1,IF($J$25="","0",$I$25))))</f>
        <v>20</v>
      </c>
      <c r="Z53" s="131">
        <f>IF($W$45="","",IF($U$26&lt;&gt;$U$23,"",IF($L$27="bb",1,IF($L$27="","0",$K$28))))</f>
        <v>20</v>
      </c>
      <c r="AA53" s="131">
        <f>IF($W$45="","",IF($U$30&lt;&gt;$U$23,"",IF($N$31="bb",1,IF($N$31="","0",$M$34))))</f>
        <v>30</v>
      </c>
      <c r="AB53" s="131">
        <f>IF($W$45="","",IF($U$22&lt;&gt;$U$23,"",IF($P$23="bb",1,IF($P$23="","0",$O$14))))</f>
      </c>
      <c r="AC53" s="131">
        <f>IF($W$45="","",IF($U$38&lt;&gt;$U$23,"",IF($P$39="bb",1,IF($P$39="","0",$Q$54))))</f>
      </c>
      <c r="AD53" s="131"/>
      <c r="AE53" s="358">
        <f t="shared" si="3"/>
        <v>70</v>
      </c>
      <c r="AF53" s="133">
        <f>IF($C23="","",'ž glavni 32'!$C$23)</f>
        <v>6322</v>
      </c>
      <c r="AG53" s="133" t="str">
        <f>UPPER(IF($D$23="","",VLOOKUP($D$23,'[1]ž glavni turnir žrebna lista'!$A$7:$R$38,3)))</f>
        <v>JERŠE</v>
      </c>
      <c r="AH53" s="133" t="str">
        <f>PROPER(IF($D$23="","",VLOOKUP($D$23,'[1]ž glavni turnir žrebna lista'!$A$7:$R$38,4)))</f>
        <v>Tjaša</v>
      </c>
      <c r="AI53" s="358">
        <f t="shared" si="4"/>
        <v>190</v>
      </c>
    </row>
    <row r="54" spans="1:35" s="83" customFormat="1" ht="9" customHeight="1">
      <c r="A54" s="89"/>
      <c r="B54" s="90"/>
      <c r="C54" s="90"/>
      <c r="D54" s="90"/>
      <c r="E54" s="121"/>
      <c r="F54" s="121"/>
      <c r="G54" s="126"/>
      <c r="H54" s="121"/>
      <c r="I54" s="110"/>
      <c r="J54" s="76"/>
      <c r="K54" s="119"/>
      <c r="L54" s="76"/>
      <c r="M54" s="343"/>
      <c r="N54" s="93" t="s">
        <v>23</v>
      </c>
      <c r="O54" s="111" t="s">
        <v>154</v>
      </c>
      <c r="P54" s="95" t="str">
        <f>UPPER(IF(OR(O54="a",O54="as"),N46,IF(OR(O54="b",O54="bs"),N62,)))</f>
        <v>VOVK</v>
      </c>
      <c r="Q54" s="402">
        <f>IF(OR(O54="a",O54="as"),O46,IF(OR(O54="b",O54="bs"),O62,))</f>
        <v>40</v>
      </c>
      <c r="R54" s="82"/>
      <c r="U54" s="30">
        <f>IF(OR(O54="a",O54="as"),U46,IF(OR(O54="b",O54="bs"),U62,""))</f>
        <v>6593</v>
      </c>
      <c r="V54" s="133">
        <v>10</v>
      </c>
      <c r="W54" s="133" t="str">
        <f>UPPER(IF($D$25="","",VLOOKUP($D$25,'[1]ž glavni turnir žrebna lista'!$A$7:$R$38,3)))</f>
        <v>MORI</v>
      </c>
      <c r="X54" s="133" t="str">
        <f>PROPER(IF($D$25="","",VLOOKUP($D$25,'[1]ž glavni turnir žrebna lista'!$A$7:$R$38,4)))</f>
        <v>Maša</v>
      </c>
      <c r="Y54" s="131">
        <f>IF(W54="","",IF($U$24&lt;&gt;$U$25,"",IF($J$25="bb",1,IF($J$25="","0",$I$23))))</f>
      </c>
      <c r="Z54" s="131">
        <f>IF($W$45="","",IF($U$26&lt;&gt;$U$25,"",IF($L$27="bb",1,IF($L$27="","0",$K$28))))</f>
      </c>
      <c r="AA54" s="131">
        <f>IF($W$45="","",IF($U$30&lt;&gt;$U$25,"",IF($N$31="bb",1,IF($N$31="","0",$M$34))))</f>
      </c>
      <c r="AB54" s="131">
        <f>IF($W$45="","",IF($U$22&lt;&gt;$U$25,"",IF($P$23="bb",1,IF($P$23="","0",$O$14))))</f>
      </c>
      <c r="AC54" s="131">
        <f>IF($W$45="","",IF($U$38&lt;&gt;$U$25,"",IF($P$39="bb",1,IF($P$39="","0",$Q$54))))</f>
      </c>
      <c r="AD54" s="131"/>
      <c r="AE54" s="358">
        <f t="shared" si="3"/>
        <v>0</v>
      </c>
      <c r="AF54" s="133">
        <f>IF($C25="","",'ž glavni 32'!$C$25)</f>
        <v>6535</v>
      </c>
      <c r="AG54" s="133" t="str">
        <f>UPPER(IF($D$25="","",VLOOKUP($D$25,'[1]ž glavni turnir žrebna lista'!$A$7:$R$38,3)))</f>
        <v>MORI</v>
      </c>
      <c r="AH54" s="133" t="str">
        <f>PROPER(IF($D$25="","",VLOOKUP($D$25,'[1]ž glavni turnir žrebna lista'!$A$7:$R$38,4)))</f>
        <v>Maša</v>
      </c>
      <c r="AI54" s="358">
        <f t="shared" si="4"/>
        <v>15</v>
      </c>
    </row>
    <row r="55" spans="1:35" s="83" customFormat="1" ht="9" customHeight="1">
      <c r="A55" s="72">
        <v>25</v>
      </c>
      <c r="B55" s="73" t="str">
        <f>IF($D55="","",VLOOKUP($D55,'[1]ž glavni turnir žrebna lista'!$A$7:$R$38,17))</f>
        <v>D</v>
      </c>
      <c r="C55" s="73">
        <f>IF($D55="","",VLOOKUP($D55,'[1]ž glavni turnir žrebna lista'!$A$7:$R$38,2))</f>
        <v>6238</v>
      </c>
      <c r="D55" s="74">
        <v>5</v>
      </c>
      <c r="E55" s="73" t="str">
        <f>UPPER(IF($D55="","",VLOOKUP($D55,'[1]ž glavni turnir žrebna lista'!$A$7:$R$38,3)))</f>
        <v>GLAVIČ</v>
      </c>
      <c r="F55" s="73" t="str">
        <f>PROPER(IF($D55="","",VLOOKUP($D55,'[1]ž glavni turnir žrebna lista'!$A$7:$R$38,4)))</f>
        <v>Lara</v>
      </c>
      <c r="G55" s="73"/>
      <c r="H55" s="73" t="str">
        <f>IF($D55="","",VLOOKUP($D55,'[1]ž glavni turnir žrebna lista'!$A$7:$R$38,5))</f>
        <v>TOPTE</v>
      </c>
      <c r="I55" s="394">
        <f>IF($D55="","",VLOOKUP($D55,'[1]ž glavni turnir žrebna lista'!$A$7:$R$38,14))</f>
        <v>30</v>
      </c>
      <c r="J55" s="76"/>
      <c r="K55" s="119"/>
      <c r="L55" s="76"/>
      <c r="M55" s="343"/>
      <c r="N55" s="78"/>
      <c r="O55" s="346"/>
      <c r="P55" s="76" t="s">
        <v>171</v>
      </c>
      <c r="Q55" s="78"/>
      <c r="R55" s="82"/>
      <c r="U55" s="30">
        <f>IF($D55="","",VLOOKUP($D55,'[1]ž glavni turnir žrebna lista'!$A$7:$R$38,2))</f>
        <v>6238</v>
      </c>
      <c r="V55" s="133">
        <v>11</v>
      </c>
      <c r="W55" s="133" t="str">
        <f>UPPER(IF($D$27="","",VLOOKUP($D$27,'[1]ž glavni turnir žrebna lista'!$A$7:$R$38,3)))</f>
        <v>HAUPTMAN</v>
      </c>
      <c r="X55" s="133" t="str">
        <f>PROPER(IF($D$27="","",VLOOKUP($D$27,'[1]ž glavni turnir žrebna lista'!$A$7:$R$38,4)))</f>
        <v>Vita Lucija</v>
      </c>
      <c r="Y55" s="131">
        <f>IF(W55="","",IF($U$28&lt;&gt;$U$27,"",IF($J$29="bb",1,IF($J$29="","0",$I$29))))</f>
        <v>10</v>
      </c>
      <c r="Z55" s="131">
        <f>IF($W$45="","",IF($U$26&lt;&gt;$U$27,"",IF($L$27="bb",1,IF($L$27="","0",$K$24))))</f>
      </c>
      <c r="AA55" s="131">
        <f>IF($W$45="","",IF($U$30&lt;&gt;$U$27,"",IF($N$31="bb",1,IF($N$31="","0",$M$34))))</f>
      </c>
      <c r="AB55" s="131">
        <f>IF($W$45="","",IF($U$22&lt;&gt;$U$27,"",IF($P$23="bb",1,IF($P$23="","0",$O$14))))</f>
      </c>
      <c r="AC55" s="131">
        <f>IF($W$45="","",IF($U$38&lt;&gt;$U$27,"",IF($P$39="bb",1,IF($P$39="","0",$Q$54))))</f>
      </c>
      <c r="AD55" s="131"/>
      <c r="AE55" s="358">
        <f t="shared" si="3"/>
        <v>10</v>
      </c>
      <c r="AF55" s="133">
        <f>IF($C27="","",'ž glavni 32'!$C$27)</f>
        <v>6475</v>
      </c>
      <c r="AG55" s="133" t="str">
        <f>UPPER(IF($D$27="","",VLOOKUP($D$27,'[1]ž glavni turnir žrebna lista'!$A$7:$R$38,3)))</f>
        <v>HAUPTMAN</v>
      </c>
      <c r="AH55" s="133" t="str">
        <f>PROPER(IF($D$27="","",VLOOKUP($D$27,'[1]ž glavni turnir žrebna lista'!$A$7:$R$38,4)))</f>
        <v>Vita Lucija</v>
      </c>
      <c r="AI55" s="358">
        <f t="shared" si="4"/>
        <v>40</v>
      </c>
    </row>
    <row r="56" spans="1:35" s="83" customFormat="1" ht="9" customHeight="1">
      <c r="A56" s="89"/>
      <c r="B56" s="90"/>
      <c r="C56" s="90"/>
      <c r="D56" s="90"/>
      <c r="E56" s="91"/>
      <c r="F56" s="91"/>
      <c r="G56" s="92"/>
      <c r="H56" s="93" t="s">
        <v>23</v>
      </c>
      <c r="I56" s="94" t="s">
        <v>24</v>
      </c>
      <c r="J56" s="95" t="str">
        <f>UPPER(IF(OR(I56="a",I56="as"),E55,IF(OR(I56="b",I56="bs"),E57,)))</f>
        <v>GLAVIČ</v>
      </c>
      <c r="K56" s="394">
        <f>IF(OR(I56="a",I56="as"),I55,IF(OR(I56="b",I56="bs"),I57,))</f>
        <v>30</v>
      </c>
      <c r="L56" s="76"/>
      <c r="M56" s="343"/>
      <c r="N56" s="78"/>
      <c r="O56" s="346"/>
      <c r="P56" s="78"/>
      <c r="Q56" s="78"/>
      <c r="R56" s="82"/>
      <c r="U56" s="30">
        <f>IF(OR(I56="a",I56="as"),C55,IF(OR(I56="b",I56="bs"),C57,""))</f>
        <v>6238</v>
      </c>
      <c r="V56" s="133">
        <v>12</v>
      </c>
      <c r="W56" s="133" t="str">
        <f>UPPER(IF($D$29="","",VLOOKUP($D$29,'[1]ž glavni turnir žrebna lista'!$A$7:$R$38,3)))</f>
        <v>TURNŠEK</v>
      </c>
      <c r="X56" s="133" t="str">
        <f>PROPER(IF($D$29="","",VLOOKUP($D$29,'[1]ž glavni turnir žrebna lista'!$A$7:$R$38,4)))</f>
        <v>Anja</v>
      </c>
      <c r="Y56" s="131">
        <f>IF(W56="","",IF($U$28&lt;&gt;$U$29,"",IF($J$29="bb",1,IF($J$29="","0",$I$27))))</f>
      </c>
      <c r="Z56" s="131">
        <f>IF($W$45="","",IF($U$26&lt;&gt;$U$29,"",IF($L$27="bb",1,IF($L$27="","0",$K$24))))</f>
      </c>
      <c r="AA56" s="131">
        <f>IF($W$45="","",IF($U$30&lt;&gt;$U$29,"",IF($N$31="bb",1,IF($N$31="","0",$M$34))))</f>
      </c>
      <c r="AB56" s="131">
        <f>IF($W$45="","",IF($U$22&lt;&gt;$U$29,"",IF($P$23="bb",1,IF($P$23="","0",$O$14))))</f>
      </c>
      <c r="AC56" s="131">
        <f>IF($W$45="","",IF($U$38&lt;&gt;$U$29,"",IF($P$39="bb",1,IF($P$39="","0",$Q$54))))</f>
      </c>
      <c r="AD56" s="131"/>
      <c r="AE56" s="358">
        <f t="shared" si="3"/>
        <v>0</v>
      </c>
      <c r="AF56" s="133">
        <f>IF($C29="","",'ž glavni 32'!$C$29)</f>
        <v>7475</v>
      </c>
      <c r="AG56" s="133" t="str">
        <f>UPPER(IF($D$29="","",VLOOKUP($D$29,'[1]ž glavni turnir žrebna lista'!$A$7:$R$38,3)))</f>
        <v>TURNŠEK</v>
      </c>
      <c r="AH56" s="133" t="str">
        <f>PROPER(IF($D$29="","",VLOOKUP($D$29,'[1]ž glavni turnir žrebna lista'!$A$7:$R$38,4)))</f>
        <v>Anja</v>
      </c>
      <c r="AI56" s="358">
        <f t="shared" si="4"/>
        <v>15</v>
      </c>
    </row>
    <row r="57" spans="1:35" s="83" customFormat="1" ht="9" customHeight="1">
      <c r="A57" s="89">
        <v>26</v>
      </c>
      <c r="B57" s="103" t="str">
        <f>IF($D57="","",VLOOKUP($D57,'[1]ž glavni turnir žrebna lista'!$A$7:$R$38,17))</f>
        <v>D</v>
      </c>
      <c r="C57" s="103">
        <f>IF($D57="","",VLOOKUP($D57,'[1]ž glavni turnir žrebna lista'!$A$7:$R$38,2))</f>
        <v>6907</v>
      </c>
      <c r="D57" s="74">
        <v>25</v>
      </c>
      <c r="E57" s="104" t="str">
        <f>UPPER(IF($D57="","",VLOOKUP($D57,'[1]ž glavni turnir žrebna lista'!$A$7:$R$38,3)))</f>
        <v>PEROŠA</v>
      </c>
      <c r="F57" s="104" t="str">
        <f>PROPER(IF($D57="","",VLOOKUP($D57,'[1]ž glavni turnir žrebna lista'!$A$7:$R$38,4)))</f>
        <v>Silvija</v>
      </c>
      <c r="G57" s="104"/>
      <c r="H57" s="104" t="str">
        <f>IF($D57="","",VLOOKUP($D57,'[1]ž glavni turnir žrebna lista'!$A$7:$R$38,5))</f>
        <v>KOPER</v>
      </c>
      <c r="I57" s="402">
        <f>IF($D57="","",VLOOKUP($D57,'[1]ž glavni turnir žrebna lista'!$A$7:$R$38,14))</f>
        <v>10</v>
      </c>
      <c r="J57" s="76" t="s">
        <v>100</v>
      </c>
      <c r="K57" s="107"/>
      <c r="L57" s="76"/>
      <c r="M57" s="343"/>
      <c r="N57" s="78"/>
      <c r="O57" s="346"/>
      <c r="P57" s="78"/>
      <c r="Q57" s="78"/>
      <c r="R57" s="82"/>
      <c r="U57" s="30">
        <f>IF($D57="","",VLOOKUP($D57,'[1]ž glavni turnir žrebna lista'!$A$7:$R$38,2))</f>
        <v>6907</v>
      </c>
      <c r="V57" s="133">
        <v>13</v>
      </c>
      <c r="W57" s="133" t="str">
        <f>UPPER(IF($D$31="","",VLOOKUP($D$31,'[1]ž glavni turnir žrebna lista'!$A$7:$R$38,3)))</f>
        <v>FIŠER</v>
      </c>
      <c r="X57" s="133" t="str">
        <f>PROPER(IF($D$31="","",VLOOKUP($D$31,'[1]ž glavni turnir žrebna lista'!$A$7:$R$38,4)))</f>
        <v>Eva</v>
      </c>
      <c r="Y57" s="131">
        <f>IF(W57="","",IF($U$32&lt;&gt;$U$31,"",IF($J$33="bb",1,IF($J$33="","0",$I$33))))</f>
      </c>
      <c r="Z57" s="131">
        <f>IF($W$45="","",IF($U$34&lt;&gt;$U$31,"",IF($L$35="bb",1,IF($L$35="","0",$K$36))))</f>
      </c>
      <c r="AA57" s="131">
        <f>IF($W$45="","",IF($U$30&lt;&gt;$U$31,"",IF($N$31="bb",1,IF($N$31="","0",$M$26))))</f>
      </c>
      <c r="AB57" s="131">
        <f>IF($W$45="","",IF($U$22&lt;&gt;$U$31,"",IF($P$23="bb",1,IF($P$23="","0",$O$14))))</f>
      </c>
      <c r="AC57" s="131">
        <f>IF($W$45="","",IF($U$38&lt;&gt;$U$31,"",IF($P$39="bb",1,IF($P$39="","0",$Q$54))))</f>
      </c>
      <c r="AD57" s="131"/>
      <c r="AE57" s="358">
        <f t="shared" si="3"/>
        <v>0</v>
      </c>
      <c r="AF57" s="133">
        <f>IF($C31="","",'ž glavni 32'!$C$31)</f>
        <v>5920</v>
      </c>
      <c r="AG57" s="133" t="str">
        <f>UPPER(IF($D$31="","",VLOOKUP($D$31,'[1]ž glavni turnir žrebna lista'!$A$7:$R$38,3)))</f>
        <v>FIŠER</v>
      </c>
      <c r="AH57" s="133" t="str">
        <f>PROPER(IF($D$31="","",VLOOKUP($D$31,'[1]ž glavni turnir žrebna lista'!$A$7:$R$38,4)))</f>
        <v>Eva</v>
      </c>
      <c r="AI57" s="358">
        <f t="shared" si="4"/>
        <v>15</v>
      </c>
    </row>
    <row r="58" spans="1:35" s="83" customFormat="1" ht="9" customHeight="1">
      <c r="A58" s="89"/>
      <c r="B58" s="90"/>
      <c r="C58" s="90"/>
      <c r="D58" s="109"/>
      <c r="E58" s="91"/>
      <c r="F58" s="91"/>
      <c r="G58" s="92"/>
      <c r="H58" s="91"/>
      <c r="I58" s="110"/>
      <c r="J58" s="93" t="s">
        <v>23</v>
      </c>
      <c r="K58" s="111" t="s">
        <v>24</v>
      </c>
      <c r="L58" s="95" t="str">
        <f>UPPER(IF(OR(K58="a",K58="as"),J56,IF(OR(K58="b",K58="bs"),J60,)))</f>
        <v>GLAVIČ</v>
      </c>
      <c r="M58" s="394">
        <f>IF(OR(K58="a",K58="as"),K56,IF(OR(K58="b",K58="bs"),K60,))</f>
        <v>30</v>
      </c>
      <c r="N58" s="78"/>
      <c r="O58" s="346"/>
      <c r="P58" s="78"/>
      <c r="Q58" s="78"/>
      <c r="R58" s="82"/>
      <c r="U58" s="30">
        <f>IF(OR(K58="a",K58="as"),U56,IF(OR(K58="b",K58="bs"),U60,""))</f>
        <v>6238</v>
      </c>
      <c r="V58" s="133">
        <v>14</v>
      </c>
      <c r="W58" s="133" t="str">
        <f>UPPER(IF($D$33="","",VLOOKUP($D$33,'[1]ž glavni turnir žrebna lista'!$A$7:$R$38,3)))</f>
        <v>SEFIČ</v>
      </c>
      <c r="X58" s="133" t="str">
        <f>PROPER(IF($D$33="","",VLOOKUP($D$33,'[1]ž glavni turnir žrebna lista'!$A$7:$R$38,4)))</f>
        <v>Laura</v>
      </c>
      <c r="Y58" s="131">
        <f>IF(W58="","",IF($U$32&lt;&gt;$U$33,"",IF($J$33="bb",1,IF($J$33="","0",$I$31))))</f>
        <v>10</v>
      </c>
      <c r="Z58" s="131">
        <f>IF($W$45="","",IF($U$34&lt;&gt;$U$33,"",IF($L$35="bb",1,IF($L$35="","0",$K$36))))</f>
      </c>
      <c r="AA58" s="131">
        <f>IF($W$45="","",IF($U$30&lt;&gt;$U$33,"",IF($N$31="bb",1,IF($N$31="","0",$M$26))))</f>
      </c>
      <c r="AB58" s="131">
        <f>IF($W$45="","",IF($U$22&lt;&gt;$U$33,"",IF($P$23="bb",1,IF($P$23="","0",$O$14))))</f>
      </c>
      <c r="AC58" s="131">
        <f>IF($W$45="","",IF($U$38&lt;&gt;$U$33,"",IF($P$39="bb",1,IF($P$39="","0",$Q$54))))</f>
      </c>
      <c r="AD58" s="131"/>
      <c r="AE58" s="358">
        <f t="shared" si="3"/>
        <v>10</v>
      </c>
      <c r="AF58" s="133">
        <f>IF($C33="","",'ž glavni 32'!$C$33)</f>
        <v>6681</v>
      </c>
      <c r="AG58" s="133" t="str">
        <f>UPPER(IF($D$33="","",VLOOKUP($D$33,'[1]ž glavni turnir žrebna lista'!$A$7:$R$38,3)))</f>
        <v>SEFIČ</v>
      </c>
      <c r="AH58" s="133" t="str">
        <f>PROPER(IF($D$33="","",VLOOKUP($D$33,'[1]ž glavni turnir žrebna lista'!$A$7:$R$38,4)))</f>
        <v>Laura</v>
      </c>
      <c r="AI58" s="358">
        <f t="shared" si="4"/>
        <v>40</v>
      </c>
    </row>
    <row r="59" spans="1:35" s="83" customFormat="1" ht="9" customHeight="1">
      <c r="A59" s="89">
        <v>27</v>
      </c>
      <c r="B59" s="103" t="str">
        <f>IF($D59="","",VLOOKUP($D59,'[1]ž glavni turnir žrebna lista'!$A$7:$R$38,17))</f>
        <v>D</v>
      </c>
      <c r="C59" s="103">
        <f>IF($D59="","",VLOOKUP($D59,'[1]ž glavni turnir žrebna lista'!$A$7:$R$38,2))</f>
        <v>7002</v>
      </c>
      <c r="D59" s="74">
        <v>18</v>
      </c>
      <c r="E59" s="104" t="str">
        <f>UPPER(IF($D59="","",VLOOKUP($D59,'[1]ž glavni turnir žrebna lista'!$A$7:$R$38,3)))</f>
        <v>GODEC</v>
      </c>
      <c r="F59" s="104" t="str">
        <f>PROPER(IF($D59="","",VLOOKUP($D59,'[1]ž glavni turnir žrebna lista'!$A$7:$R$38,4)))</f>
        <v>Kristina Tina</v>
      </c>
      <c r="G59" s="104"/>
      <c r="H59" s="104" t="str">
        <f>IF($D59="","",VLOOKUP($D59,'[1]ž glavni turnir žrebna lista'!$A$7:$R$38,5))</f>
        <v>ASLIT</v>
      </c>
      <c r="I59" s="394">
        <f>IF($D59="","",VLOOKUP($D59,'[1]ž glavni turnir žrebna lista'!$A$7:$R$38,14))</f>
        <v>20</v>
      </c>
      <c r="J59" s="76"/>
      <c r="K59" s="114"/>
      <c r="L59" s="76" t="s">
        <v>95</v>
      </c>
      <c r="M59" s="345"/>
      <c r="N59" s="78"/>
      <c r="O59" s="346"/>
      <c r="P59" s="78"/>
      <c r="Q59" s="78"/>
      <c r="R59" s="144"/>
      <c r="U59" s="30">
        <f>IF($D59="","",VLOOKUP($D59,'[1]ž glavni turnir žrebna lista'!$A$7:$R$38,2))</f>
        <v>7002</v>
      </c>
      <c r="V59" s="133">
        <v>15</v>
      </c>
      <c r="W59" s="133" t="str">
        <f>UPPER(IF($D$35="","",VLOOKUP($D$35,'[1]ž glavni turnir žrebna lista'!$A$7:$R$38,3)))</f>
        <v>KRIVEC</v>
      </c>
      <c r="X59" s="133" t="str">
        <f>PROPER(IF($D$35="","",VLOOKUP($D$35,'[1]ž glavni turnir žrebna lista'!$A$7:$R$38,4)))</f>
        <v>Nina</v>
      </c>
      <c r="Y59" s="131">
        <f>IF(W59="","",IF($U$36&lt;&gt;$U$35,"",IF($J$37="bb",1,IF($J$37="","0",$I$37))))</f>
      </c>
      <c r="Z59" s="131">
        <f>IF($W$45="","",IF($U$34&lt;&gt;$U$35,"",IF($L$35="bb",1,IF($L$35="","0",$K$32))))</f>
      </c>
      <c r="AA59" s="131">
        <f>IF($W$45="","",IF($U$30&lt;&gt;$U$35,"",IF($N$31="bb",1,IF($N$31="","0",$M$26))))</f>
      </c>
      <c r="AB59" s="131">
        <f>IF($W$45="","",IF($U$22&lt;&gt;$U$35,"",IF($P$23="bb",1,IF($P$23="","0",$O$14))))</f>
      </c>
      <c r="AC59" s="131">
        <f>IF($W$45="","",IF($U$38&lt;&gt;$U$35,"",IF($P$39="bb",1,IF($P$39="","0",$Q$54))))</f>
      </c>
      <c r="AD59" s="131"/>
      <c r="AE59" s="358">
        <f t="shared" si="3"/>
        <v>0</v>
      </c>
      <c r="AF59" s="133">
        <f>IF($C35="","",'ž glavni 32'!$C$35)</f>
        <v>6951</v>
      </c>
      <c r="AG59" s="133" t="str">
        <f>UPPER(IF($D$35="","",VLOOKUP($D$35,'[1]ž glavni turnir žrebna lista'!$A$7:$R$38,3)))</f>
        <v>KRIVEC</v>
      </c>
      <c r="AH59" s="133" t="str">
        <f>PROPER(IF($D$35="","",VLOOKUP($D$35,'[1]ž glavni turnir žrebna lista'!$A$7:$R$38,4)))</f>
        <v>Nina</v>
      </c>
      <c r="AI59" s="358">
        <f t="shared" si="4"/>
        <v>15</v>
      </c>
    </row>
    <row r="60" spans="1:35" s="83" customFormat="1" ht="9" customHeight="1">
      <c r="A60" s="89"/>
      <c r="B60" s="90"/>
      <c r="C60" s="90"/>
      <c r="D60" s="109"/>
      <c r="E60" s="91"/>
      <c r="F60" s="91"/>
      <c r="G60" s="92"/>
      <c r="H60" s="93" t="s">
        <v>23</v>
      </c>
      <c r="I60" s="94" t="s">
        <v>26</v>
      </c>
      <c r="J60" s="95" t="str">
        <f>UPPER(IF(OR(I60="a",I60="as"),E59,IF(OR(I60="b",I60="bs"),E61,)))</f>
        <v>MERVIČ</v>
      </c>
      <c r="K60" s="402">
        <f>IF(OR(I60="a",I60="as"),I59,IF(OR(I60="b",I60="bs"),I61,))</f>
        <v>10</v>
      </c>
      <c r="L60" s="76"/>
      <c r="M60" s="345"/>
      <c r="N60" s="78"/>
      <c r="O60" s="346"/>
      <c r="P60" s="78"/>
      <c r="Q60" s="78"/>
      <c r="R60" s="82"/>
      <c r="U60" s="30">
        <f>IF(OR(I60="a",I60="as"),C59,IF(OR(I60="b",I60="bs"),C61,""))</f>
        <v>7343</v>
      </c>
      <c r="V60" s="133">
        <v>16</v>
      </c>
      <c r="W60" s="133" t="str">
        <f>UPPER(IF($D$37="","",VLOOKUP($D$37,'[1]ž glavni turnir žrebna lista'!$A$7:$R$38,3)))</f>
        <v>BUKOVEC</v>
      </c>
      <c r="X60" s="133" t="str">
        <f>PROPER(IF($D$37="","",VLOOKUP($D$37,'[1]ž glavni turnir žrebna lista'!$A$7:$R$38,4)))</f>
        <v>Klavdija</v>
      </c>
      <c r="Y60" s="131">
        <f>IF(W60="","",IF($U$36&lt;&gt;$U$37,"",IF($J$37="bb",1,IF($J$37="","0",$I$35))))</f>
        <v>20</v>
      </c>
      <c r="Z60" s="131">
        <f>IF($W$45="","",IF($U$34&lt;&gt;$U$37,"",IF($L$35="bb",1,IF($L$35="","0",$K$32))))</f>
        <v>10</v>
      </c>
      <c r="AA60" s="131">
        <f>IF($W$45="","",IF($U$30&lt;&gt;$U$37,"",IF($N$31="bb",1,IF($N$31="","0",$M$26))))</f>
      </c>
      <c r="AB60" s="131">
        <f>IF($W$45="","",IF($U$22&lt;&gt;$U$37,"",IF($P$23="bb",1,IF($P$23="","0",$O$14))))</f>
      </c>
      <c r="AC60" s="131">
        <f>IF($W$45="","",IF($U$38&lt;&gt;$U$37,"",IF($P$39="bb",1,IF($P$39="","0",$Q$54))))</f>
      </c>
      <c r="AD60" s="131"/>
      <c r="AE60" s="358">
        <f t="shared" si="3"/>
        <v>30</v>
      </c>
      <c r="AF60" s="133">
        <f>IF($C37="","",'ž glavni 32'!$C$37)</f>
        <v>6528</v>
      </c>
      <c r="AG60" s="133" t="str">
        <f>UPPER(IF($D$37="","",VLOOKUP($D$37,'[1]ž glavni turnir žrebna lista'!$A$7:$R$38,3)))</f>
        <v>BUKOVEC</v>
      </c>
      <c r="AH60" s="133" t="str">
        <f>PROPER(IF($D$37="","",VLOOKUP($D$37,'[1]ž glavni turnir žrebna lista'!$A$7:$R$38,4)))</f>
        <v>Klavdija</v>
      </c>
      <c r="AI60" s="358">
        <f t="shared" si="4"/>
        <v>90</v>
      </c>
    </row>
    <row r="61" spans="1:35" s="83" customFormat="1" ht="9" customHeight="1">
      <c r="A61" s="89">
        <v>28</v>
      </c>
      <c r="B61" s="103" t="str">
        <f>IF($D61="","",VLOOKUP($D61,'[1]ž glavni turnir žrebna lista'!$A$7:$R$38,17))</f>
        <v>D</v>
      </c>
      <c r="C61" s="103">
        <f>IF($D61="","",VLOOKUP($D61,'[1]ž glavni turnir žrebna lista'!$A$7:$R$38,2))</f>
        <v>7343</v>
      </c>
      <c r="D61" s="74">
        <v>31</v>
      </c>
      <c r="E61" s="104" t="str">
        <f>UPPER(IF($D61="","",VLOOKUP($D61,'[1]ž glavni turnir žrebna lista'!$A$7:$R$38,3)))</f>
        <v>MERVIČ</v>
      </c>
      <c r="F61" s="104" t="str">
        <f>PROPER(IF($D61="","",VLOOKUP($D61,'[1]ž glavni turnir žrebna lista'!$A$7:$R$38,4)))</f>
        <v>Ana</v>
      </c>
      <c r="G61" s="104"/>
      <c r="H61" s="104" t="str">
        <f>IF($D61="","",VLOOKUP($D61,'[1]ž glavni turnir žrebna lista'!$A$7:$R$38,5))</f>
        <v>N.GOR</v>
      </c>
      <c r="I61" s="402">
        <f>IF($D61="","",VLOOKUP($D61,'[1]ž glavni turnir žrebna lista'!$A$7:$R$38,14))</f>
        <v>10</v>
      </c>
      <c r="J61" s="76" t="s">
        <v>95</v>
      </c>
      <c r="K61" s="119"/>
      <c r="L61" s="76"/>
      <c r="M61" s="345"/>
      <c r="N61" s="78"/>
      <c r="O61" s="346"/>
      <c r="P61" s="419" t="s">
        <v>132</v>
      </c>
      <c r="Q61" s="421"/>
      <c r="R61" s="82"/>
      <c r="U61" s="30">
        <f>IF($D61="","",VLOOKUP($D61,'[1]ž glavni turnir žrebna lista'!$A$7:$R$38,2))</f>
        <v>7343</v>
      </c>
      <c r="V61" s="133">
        <v>17</v>
      </c>
      <c r="W61" s="133" t="str">
        <f>UPPER(IF($D$39="","",VLOOKUP($D$39,'[1]ž glavni turnir žrebna lista'!$A$7:$R$38,3)))</f>
        <v>HRKAČ</v>
      </c>
      <c r="X61" s="133" t="str">
        <f>PROPER(IF($D$39="","",VLOOKUP($D$39,'[1]ž glavni turnir žrebna lista'!$A$7:$R$38,4)))</f>
        <v>Kristina</v>
      </c>
      <c r="Y61" s="131">
        <f>IF(W61="","",IF($U$40&lt;&gt;$U$39,"",IF($J$41="bb",1,IF($J$41="","0",$I$41))))</f>
      </c>
      <c r="Z61" s="131">
        <f>IF($W$45="","",IF($U$42&lt;&gt;$U$39,"",IF($L$43="bb",1,IF($L$43="","0",$K$44))))</f>
      </c>
      <c r="AA61" s="131">
        <f>IF($W$45="","",IF($U$46&lt;&gt;$U$39,"",IF($N$47="bb",1,IF($N$47="","0",$M$50))))</f>
      </c>
      <c r="AB61" s="131">
        <f>IF($W$45="","",IF($U$54&lt;&gt;$U$39,"",IF($P$55="bb",1,IF($P$55="","0",$O$62))))</f>
      </c>
      <c r="AC61" s="131">
        <f>IF($W$45="","",IF($U$38&lt;&gt;$U$39,"",IF($P$39="bb",1,IF($P$39="","0",$Q$22))))</f>
      </c>
      <c r="AD61" s="131"/>
      <c r="AE61" s="358">
        <f t="shared" si="3"/>
        <v>0</v>
      </c>
      <c r="AF61" s="133">
        <f>IF($C39="","",'ž glavni 32'!$C$39)</f>
        <v>6278</v>
      </c>
      <c r="AG61" s="133" t="str">
        <f>UPPER(IF($D$39="","",VLOOKUP($D$39,'[1]ž glavni turnir žrebna lista'!$A$7:$R$38,3)))</f>
        <v>HRKAČ</v>
      </c>
      <c r="AH61" s="133" t="str">
        <f>PROPER(IF($D$39="","",VLOOKUP($D$39,'[1]ž glavni turnir žrebna lista'!$A$7:$R$38,4)))</f>
        <v>Kristina</v>
      </c>
      <c r="AI61" s="358">
        <f t="shared" si="4"/>
        <v>15</v>
      </c>
    </row>
    <row r="62" spans="1:35" s="83" customFormat="1" ht="9" customHeight="1">
      <c r="A62" s="89"/>
      <c r="B62" s="90"/>
      <c r="C62" s="90"/>
      <c r="D62" s="109"/>
      <c r="E62" s="76"/>
      <c r="F62" s="76"/>
      <c r="G62" s="120"/>
      <c r="H62" s="121"/>
      <c r="I62" s="110"/>
      <c r="J62" s="76"/>
      <c r="K62" s="119"/>
      <c r="L62" s="93" t="s">
        <v>23</v>
      </c>
      <c r="M62" s="111" t="s">
        <v>75</v>
      </c>
      <c r="N62" s="95" t="str">
        <f>UPPER(IF(OR(M62="a",M62="as"),L58,IF(OR(M62="b",M62="bs"),L66,)))</f>
        <v>VOVK</v>
      </c>
      <c r="O62" s="394">
        <f>IF(OR(M62="a",M62="as"),M58,IF(OR(M62="b",M62="bs"),M66,))</f>
        <v>40</v>
      </c>
      <c r="P62" s="419"/>
      <c r="Q62" s="421"/>
      <c r="R62" s="82"/>
      <c r="S62" s="404">
        <f>IF($S$63&gt;=310,1,IF($S$63&gt;=220,2,IF($S$63&gt;=10,3,"")))</f>
        <v>3</v>
      </c>
      <c r="U62" s="30">
        <f>IF(OR(M62="a",M62="as"),U58,IF(OR(M62="b",M62="bs"),U66,""))</f>
        <v>6593</v>
      </c>
      <c r="V62" s="133">
        <v>18</v>
      </c>
      <c r="W62" s="133" t="str">
        <f>UPPER(IF($D$41="","",VLOOKUP($D$41,'[1]ž glavni turnir žrebna lista'!$A$7:$R$38,3)))</f>
        <v>KLANEČEK</v>
      </c>
      <c r="X62" s="133" t="str">
        <f>PROPER(IF($D$41="","",VLOOKUP($D$41,'[1]ž glavni turnir žrebna lista'!$A$7:$R$38,4)))</f>
        <v>Saša</v>
      </c>
      <c r="Y62" s="131">
        <f>IF(W62="","",IF($U$40&lt;&gt;$U$41,"",IF($J$41="bb",1,IF($J$41="","0",$I$39))))</f>
        <v>20</v>
      </c>
      <c r="Z62" s="131">
        <f>IF($W$45="","",IF($U$42&lt;&gt;$U$41,"",IF($L$43="bb",1,IF($L$43="","0",$K$44))))</f>
        <v>20</v>
      </c>
      <c r="AA62" s="131">
        <f>IF($W$45="","",IF($U$46&lt;&gt;$U$41,"",IF($N$47="bb",1,IF($N$47="","0",$M$50))))</f>
      </c>
      <c r="AB62" s="131">
        <f>IF($W$45="","",IF($U$54&lt;&gt;$U$41,"",IF($P$55="bb",1,IF($P$55="","0",$O$62))))</f>
      </c>
      <c r="AC62" s="131">
        <f>IF($W$45="","",IF($U$38&lt;&gt;$U$41,"",IF($P$39="bb",1,IF($P$39="","0",$Q$22))))</f>
      </c>
      <c r="AD62" s="131"/>
      <c r="AE62" s="358">
        <f t="shared" si="3"/>
        <v>40</v>
      </c>
      <c r="AF62" s="133">
        <f>IF($C41="","",'ž glavni 32'!$C$41)</f>
        <v>6520</v>
      </c>
      <c r="AG62" s="133" t="str">
        <f>UPPER(IF($D$41="","",VLOOKUP($D$41,'[1]ž glavni turnir žrebna lista'!$A$7:$R$38,3)))</f>
        <v>KLANEČEK</v>
      </c>
      <c r="AH62" s="133" t="str">
        <f>PROPER(IF($D$41="","",VLOOKUP($D$41,'[1]ž glavni turnir žrebna lista'!$A$7:$R$38,4)))</f>
        <v>Saša</v>
      </c>
      <c r="AI62" s="358">
        <f t="shared" si="4"/>
        <v>100</v>
      </c>
    </row>
    <row r="63" spans="1:35" s="83" customFormat="1" ht="9" customHeight="1">
      <c r="A63" s="89">
        <v>29</v>
      </c>
      <c r="B63" s="103" t="str">
        <f>IF($D63="","",VLOOKUP($D63,'[1]ž glavni turnir žrebna lista'!$A$7:$R$38,17))</f>
        <v>D</v>
      </c>
      <c r="C63" s="103">
        <f>IF($D63="","",VLOOKUP($D63,'[1]ž glavni turnir žrebna lista'!$A$7:$R$38,2))</f>
        <v>6854</v>
      </c>
      <c r="D63" s="74">
        <v>23</v>
      </c>
      <c r="E63" s="104" t="str">
        <f>UPPER(IF($D63="","",VLOOKUP($D63,'[1]ž glavni turnir žrebna lista'!$A$7:$R$38,3)))</f>
        <v>BURGER</v>
      </c>
      <c r="F63" s="104" t="str">
        <f>PROPER(IF($D63="","",VLOOKUP($D63,'[1]ž glavni turnir žrebna lista'!$A$7:$R$38,4)))</f>
        <v>Evgenija</v>
      </c>
      <c r="G63" s="104"/>
      <c r="H63" s="104" t="str">
        <f>IF($D63="","",VLOOKUP($D63,'[1]ž glavni turnir žrebna lista'!$A$7:$R$38,5))</f>
        <v>OTOČE</v>
      </c>
      <c r="I63" s="394">
        <f>IF($D63="","",VLOOKUP($D63,'[1]ž glavni turnir žrebna lista'!$A$7:$R$38,14))</f>
        <v>10</v>
      </c>
      <c r="J63" s="76"/>
      <c r="K63" s="119"/>
      <c r="L63" s="76"/>
      <c r="M63" s="345"/>
      <c r="N63" s="76" t="s">
        <v>161</v>
      </c>
      <c r="O63" s="285"/>
      <c r="P63" s="145" t="s">
        <v>31</v>
      </c>
      <c r="Q63" s="146">
        <f>MIN(J4,S62)</f>
        <v>2</v>
      </c>
      <c r="R63" s="82"/>
      <c r="S63" s="399">
        <f>SUM(LARGE(H72:H79,{1}),LARGE(H72:H79,{2}),LARGE(H72:H79,{3}),LARGE(H72:H79,{4}))</f>
        <v>140</v>
      </c>
      <c r="U63" s="30">
        <f>IF($D63="","",VLOOKUP($D63,'[1]ž glavni turnir žrebna lista'!$A$7:$R$38,2))</f>
        <v>6854</v>
      </c>
      <c r="V63" s="133">
        <v>19</v>
      </c>
      <c r="W63" s="133" t="str">
        <f>UPPER(IF($D$43="","",VLOOKUP($D$43,'[1]ž glavni turnir žrebna lista'!$A$7:$R$38,3)))</f>
        <v>DEVETAK</v>
      </c>
      <c r="X63" s="133" t="str">
        <f>PROPER(IF($D$43="","",VLOOKUP($D$43,'[1]ž glavni turnir žrebna lista'!$A$7:$R$38,4)))</f>
        <v>Martina</v>
      </c>
      <c r="Y63" s="131">
        <f>IF(W63="","",IF($U$44&lt;&gt;$U$43,"",IF($J$45="bb",1,IF($J$45="","0",$I$45))))</f>
      </c>
      <c r="Z63" s="131">
        <f>IF($W$45="","",IF($U$42&lt;&gt;$U$43,"",IF($L$43="bb",1,IF($L$43="","0",$K$40))))</f>
      </c>
      <c r="AA63" s="131">
        <f>IF($W$45="","",IF($U$46&lt;&gt;$U$43,"",IF($N$47="bb",1,IF($N$47="","0",$M$50))))</f>
      </c>
      <c r="AB63" s="131">
        <f>IF($W$45="","",IF($U$54&lt;&gt;$U$43,"",IF($P$55="bb",1,IF($P$55="","0",$O$62))))</f>
      </c>
      <c r="AC63" s="131">
        <f>IF($W$45="","",IF($U$38&lt;&gt;$U$43,"",IF($P$39="bb",1,IF($P$39="","0",$Q$22))))</f>
      </c>
      <c r="AD63" s="131"/>
      <c r="AE63" s="358">
        <f t="shared" si="3"/>
        <v>0</v>
      </c>
      <c r="AF63" s="133">
        <f>IF($C43="","",'ž glavni 32'!$C$43)</f>
        <v>8888</v>
      </c>
      <c r="AG63" s="133" t="str">
        <f>UPPER(IF($D$43="","",VLOOKUP($D$43,'[1]ž glavni turnir žrebna lista'!$A$7:$R$38,3)))</f>
        <v>DEVETAK</v>
      </c>
      <c r="AH63" s="133" t="str">
        <f>PROPER(IF($D$43="","",VLOOKUP($D$43,'[1]ž glavni turnir žrebna lista'!$A$7:$R$38,4)))</f>
        <v>Martina</v>
      </c>
      <c r="AI63" s="358">
        <f t="shared" si="4"/>
        <v>15</v>
      </c>
    </row>
    <row r="64" spans="1:35" s="83" customFormat="1" ht="9" customHeight="1">
      <c r="A64" s="89"/>
      <c r="B64" s="90"/>
      <c r="C64" s="90"/>
      <c r="D64" s="109"/>
      <c r="E64" s="91"/>
      <c r="F64" s="91"/>
      <c r="G64" s="92"/>
      <c r="H64" s="93" t="s">
        <v>23</v>
      </c>
      <c r="I64" s="94" t="s">
        <v>27</v>
      </c>
      <c r="J64" s="95" t="str">
        <f>UPPER(IF(OR(I64="a",I64="as"),E63,IF(OR(I64="b",I64="bs"),E65,)))</f>
        <v>BURGER</v>
      </c>
      <c r="K64" s="394">
        <f>IF(OR(I64="a",I64="as"),I63,IF(OR(I64="b",I64="bs"),I65,))</f>
        <v>10</v>
      </c>
      <c r="L64" s="76"/>
      <c r="M64" s="345"/>
      <c r="N64" s="113"/>
      <c r="O64" s="285"/>
      <c r="P64" s="147" t="s">
        <v>106</v>
      </c>
      <c r="Q64" s="405">
        <f>IF($C$2="B turnir",16,IF($Q$63=1,480,IF($Q$63=2,240,IF($Q$63=3,160,""))))</f>
        <v>240</v>
      </c>
      <c r="R64" s="82"/>
      <c r="U64" s="30">
        <f>IF(OR(I64="a",I64="as"),C63,IF(OR(I64="b",I64="bs"),C65,""))</f>
        <v>6854</v>
      </c>
      <c r="V64" s="133">
        <v>20</v>
      </c>
      <c r="W64" s="133" t="str">
        <f>UPPER(IF($D$45="","",VLOOKUP($D$45,'[1]ž glavni turnir žrebna lista'!$A$7:$R$38,3)))</f>
        <v>TRATNIK</v>
      </c>
      <c r="X64" s="133" t="str">
        <f>PROPER(IF($D$45="","",VLOOKUP($D$45,'[1]ž glavni turnir žrebna lista'!$A$7:$R$38,4)))</f>
        <v>Blažka</v>
      </c>
      <c r="Y64" s="131">
        <f>IF(W64="","",IF($U$44&lt;&gt;$U$45,"",IF($J$45="bb",1,IF($J$45="","0",$I$43))))</f>
        <v>10</v>
      </c>
      <c r="Z64" s="131">
        <f>IF($W$45="","",IF($U$42&lt;&gt;$U$45,"",IF($L$43="bb",1,IF($L$43="","0",$K$40))))</f>
      </c>
      <c r="AA64" s="131">
        <f>IF($W$45="","",IF($U$46&lt;&gt;$U$45,"",IF($N$47="bb",1,IF($N$47="","0",$M$50))))</f>
      </c>
      <c r="AB64" s="131">
        <f>IF($W$45="","",IF($U$54&lt;&gt;$U$45,"",IF($P$55="bb",1,IF($P$55="","0",$O$62))))</f>
      </c>
      <c r="AC64" s="131">
        <f>IF($W$45="","",IF($U$38&lt;&gt;$U$45,"",IF($P$39="bb",1,IF($P$39="","0",$Q$22))))</f>
      </c>
      <c r="AD64" s="131"/>
      <c r="AE64" s="358">
        <f t="shared" si="3"/>
        <v>10</v>
      </c>
      <c r="AF64" s="133">
        <f>IF($C45="","",'ž glavni 32'!$C$45)</f>
        <v>6626</v>
      </c>
      <c r="AG64" s="133" t="str">
        <f>UPPER(IF($D$45="","",VLOOKUP($D$45,'[1]ž glavni turnir žrebna lista'!$A$7:$R$38,3)))</f>
        <v>TRATNIK</v>
      </c>
      <c r="AH64" s="133" t="str">
        <f>PROPER(IF($D$45="","",VLOOKUP($D$45,'[1]ž glavni turnir žrebna lista'!$A$7:$R$38,4)))</f>
        <v>Blažka</v>
      </c>
      <c r="AI64" s="358">
        <f t="shared" si="4"/>
        <v>40</v>
      </c>
    </row>
    <row r="65" spans="1:35" s="83" customFormat="1" ht="9" customHeight="1">
      <c r="A65" s="89">
        <v>30</v>
      </c>
      <c r="B65" s="103" t="str">
        <f>IF($D65="","",VLOOKUP($D65,'[1]ž glavni turnir žrebna lista'!$A$7:$R$38,17))</f>
        <v>D</v>
      </c>
      <c r="C65" s="103">
        <f>IF($D65="","",VLOOKUP($D65,'[1]ž glavni turnir žrebna lista'!$A$7:$R$38,2))</f>
        <v>6250</v>
      </c>
      <c r="D65" s="74">
        <v>17</v>
      </c>
      <c r="E65" s="104" t="str">
        <f>UPPER(IF($D65="","",VLOOKUP($D65,'[1]ž glavni turnir žrebna lista'!$A$7:$R$38,3)))</f>
        <v>MEJAK</v>
      </c>
      <c r="F65" s="104" t="str">
        <f>PROPER(IF($D65="","",VLOOKUP($D65,'[1]ž glavni turnir žrebna lista'!$A$7:$R$38,4)))</f>
        <v>Mojca</v>
      </c>
      <c r="G65" s="104"/>
      <c r="H65" s="104" t="str">
        <f>IF($D65="","",VLOOKUP($D65,'[1]ž glavni turnir žrebna lista'!$A$7:$R$38,5))</f>
        <v>KOPER</v>
      </c>
      <c r="I65" s="402">
        <f>IF($D65="","",VLOOKUP($D65,'[1]ž glavni turnir žrebna lista'!$A$7:$R$38,14))</f>
        <v>20</v>
      </c>
      <c r="J65" s="76" t="s">
        <v>96</v>
      </c>
      <c r="K65" s="107"/>
      <c r="L65" s="76"/>
      <c r="M65" s="345"/>
      <c r="N65" s="113"/>
      <c r="O65" s="285"/>
      <c r="P65" s="56" t="s">
        <v>108</v>
      </c>
      <c r="Q65" s="406">
        <f>IF($C$2="B turnir",12,IF($Q$63=1,360,IF($Q$63=2,180,IF($Q$63=3,120,""))))</f>
        <v>180</v>
      </c>
      <c r="R65" s="82"/>
      <c r="U65" s="30">
        <f>IF($D65="","",VLOOKUP($D65,'[1]ž glavni turnir žrebna lista'!$A$7:$R$38,2))</f>
        <v>6250</v>
      </c>
      <c r="V65" s="133">
        <v>21</v>
      </c>
      <c r="W65" s="133" t="str">
        <f>UPPER(IF($D$47="","",VLOOKUP($D$47,'[1]ž glavni turnir žrebna lista'!$A$7:$R$38,3)))</f>
        <v>MAKAROVIČ</v>
      </c>
      <c r="X65" s="133" t="str">
        <f>PROPER(IF($D$47="","",VLOOKUP($D$47,'[1]ž glavni turnir žrebna lista'!$A$7:$R$38,4)))</f>
        <v>Anika</v>
      </c>
      <c r="Y65" s="131">
        <f>IF(W65="","",IF($U$48&lt;&gt;$U$47,"",IF($J$49="bb",1,IF($J$49="","0",$I$49))))</f>
        <v>10</v>
      </c>
      <c r="Z65" s="131">
        <f>IF($W$45="","",IF($U$50&lt;&gt;$U$47,"",IF($L$51="bb",1,IF($L$51="","0",$K$52))))</f>
      </c>
      <c r="AA65" s="131">
        <f>IF($W$45="","",IF($U$46&lt;&gt;$U$47,"",IF($N$47="bb",1,IF($N$47="","0",$M$42))))</f>
      </c>
      <c r="AB65" s="131">
        <f>IF($W$45="","",IF($U$54&lt;&gt;$U$47,"",IF($P$55="bb",1,IF($P$55="","0",$O$62))))</f>
      </c>
      <c r="AC65" s="131">
        <f>IF($W$45="","",IF($U$38&lt;&gt;$U$47,"",IF($P$39="bb",1,IF($P$39="","0",$Q$22))))</f>
      </c>
      <c r="AD65" s="131"/>
      <c r="AE65" s="358">
        <f t="shared" si="3"/>
        <v>10</v>
      </c>
      <c r="AF65" s="133">
        <f>IF($C47="","",'ž glavni 32'!$C$47)</f>
        <v>6916</v>
      </c>
      <c r="AG65" s="133" t="str">
        <f>UPPER(IF($D$47="","",VLOOKUP($D$47,'[1]ž glavni turnir žrebna lista'!$A$7:$R$38,3)))</f>
        <v>MAKAROVIČ</v>
      </c>
      <c r="AH65" s="133" t="str">
        <f>PROPER(IF($D$47="","",VLOOKUP($D$47,'[1]ž glavni turnir žrebna lista'!$A$7:$R$38,4)))</f>
        <v>Anika</v>
      </c>
      <c r="AI65" s="358">
        <f t="shared" si="4"/>
        <v>40</v>
      </c>
    </row>
    <row r="66" spans="1:35" s="83" customFormat="1" ht="9" customHeight="1">
      <c r="A66" s="89"/>
      <c r="B66" s="90"/>
      <c r="C66" s="90"/>
      <c r="D66" s="109"/>
      <c r="E66" s="91"/>
      <c r="F66" s="91"/>
      <c r="G66" s="92"/>
      <c r="H66" s="76"/>
      <c r="I66" s="110"/>
      <c r="J66" s="93" t="s">
        <v>23</v>
      </c>
      <c r="K66" s="111" t="s">
        <v>75</v>
      </c>
      <c r="L66" s="95" t="str">
        <f>UPPER(IF(OR(K66="a",K66="as"),J64,IF(OR(K66="b",K66="bs"),J68,)))</f>
        <v>VOVK</v>
      </c>
      <c r="M66" s="402">
        <f>IF(OR(K66="a",K66="as"),K64,IF(OR(K66="b",K66="bs"),K68,))</f>
        <v>40</v>
      </c>
      <c r="N66" s="113"/>
      <c r="O66" s="285"/>
      <c r="P66" s="56" t="s">
        <v>109</v>
      </c>
      <c r="Q66" s="406">
        <f>IF($C$2="B turnir",8,IF($Q$63=1,240,IF($Q$63=2,120,IF($Q$63=3,80,""))))</f>
        <v>120</v>
      </c>
      <c r="R66" s="82"/>
      <c r="U66" s="30">
        <f>IF(OR(K66="a",K66="as"),U64,IF(OR(K66="b",K66="bs"),U68,""))</f>
        <v>6593</v>
      </c>
      <c r="V66" s="133">
        <v>22</v>
      </c>
      <c r="W66" s="133" t="str">
        <f>UPPER(IF($D$49="","",VLOOKUP($D$49,'[1]ž glavni turnir žrebna lista'!$A$7:$R$38,3)))</f>
        <v>ZUKIČ</v>
      </c>
      <c r="X66" s="133" t="str">
        <f>PROPER(IF($D$49="","",VLOOKUP($D$49,'[1]ž glavni turnir žrebna lista'!$A$7:$R$38,4)))</f>
        <v>Sandra</v>
      </c>
      <c r="Y66" s="131">
        <f>IF(W66="","",IF($U$48&lt;&gt;$U$49,"",IF($J$49="bb",1,IF($J$49="","0",$I$47))))</f>
      </c>
      <c r="Z66" s="131">
        <f>IF($W$45="","",IF($U$50&lt;&gt;$U$49,"",IF($L$51="bb",1,IF($L$51="","0",$K$52))))</f>
      </c>
      <c r="AA66" s="131">
        <f>IF($W$45="","",IF($U$46&lt;&gt;$U$49,"",IF($N$47="bb",1,IF($N$47="","0",$M$42))))</f>
      </c>
      <c r="AB66" s="131">
        <f>IF($W$45="","",IF($U$54&lt;&gt;$U$49,"",IF($P$55="bb",1,IF($P$55="","0",$O$62))))</f>
      </c>
      <c r="AC66" s="131">
        <f>IF($W$45="","",IF($U$38&lt;&gt;$U$49,"",IF($P$39="bb",1,IF($P$39="","0",$Q$22))))</f>
      </c>
      <c r="AD66" s="131"/>
      <c r="AE66" s="358">
        <f t="shared" si="3"/>
        <v>0</v>
      </c>
      <c r="AF66" s="133">
        <f>IF($C49="","",'ž glavni 32'!$C$49)</f>
        <v>6836</v>
      </c>
      <c r="AG66" s="133" t="str">
        <f>UPPER(IF($D$49="","",VLOOKUP($D$49,'[1]ž glavni turnir žrebna lista'!$A$7:$R$38,3)))</f>
        <v>ZUKIČ</v>
      </c>
      <c r="AH66" s="133" t="str">
        <f>PROPER(IF($D$49="","",VLOOKUP($D$49,'[1]ž glavni turnir žrebna lista'!$A$7:$R$38,4)))</f>
        <v>Sandra</v>
      </c>
      <c r="AI66" s="358">
        <f t="shared" si="4"/>
        <v>15</v>
      </c>
    </row>
    <row r="67" spans="1:35" s="83" customFormat="1" ht="9" customHeight="1">
      <c r="A67" s="89">
        <v>31</v>
      </c>
      <c r="B67" s="103" t="str">
        <f>IF($D67="","",VLOOKUP($D67,'[1]ž glavni turnir žrebna lista'!$A$7:$R$38,17))</f>
        <v>D</v>
      </c>
      <c r="C67" s="103">
        <f>IF($D67="","",VLOOKUP($D67,'[1]ž glavni turnir žrebna lista'!$A$7:$R$38,2))</f>
        <v>6498</v>
      </c>
      <c r="D67" s="74">
        <v>10</v>
      </c>
      <c r="E67" s="104" t="str">
        <f>UPPER(IF($D67="","",VLOOKUP($D67,'[1]ž glavni turnir žrebna lista'!$A$7:$R$38,3)))</f>
        <v>SIRŠE</v>
      </c>
      <c r="F67" s="104" t="str">
        <f>PROPER(IF($D67="","",VLOOKUP($D67,'[1]ž glavni turnir žrebna lista'!$A$7:$R$38,4)))</f>
        <v>Sara</v>
      </c>
      <c r="G67" s="104"/>
      <c r="H67" s="104" t="str">
        <f>IF($D67="","",VLOOKUP($D67,'[1]ž glavni turnir žrebna lista'!$A$7:$R$38,5))</f>
        <v>LTC</v>
      </c>
      <c r="I67" s="394">
        <f>IF($D67="","",VLOOKUP($D67,'[1]ž glavni turnir žrebna lista'!$A$7:$R$38,14))</f>
        <v>20</v>
      </c>
      <c r="J67" s="76"/>
      <c r="K67" s="114"/>
      <c r="L67" s="76" t="s">
        <v>150</v>
      </c>
      <c r="M67" s="285"/>
      <c r="N67" s="113"/>
      <c r="O67" s="285"/>
      <c r="P67" s="56" t="s">
        <v>110</v>
      </c>
      <c r="Q67" s="406">
        <f>IF($C$2="B turnir",4,IF($Q$63=1,120,IF($Q$63=2,60,IF($Q$63=3,40,""))))</f>
        <v>60</v>
      </c>
      <c r="R67" s="82"/>
      <c r="U67" s="30">
        <f>IF($D67="","",VLOOKUP($D67,'[1]ž glavni turnir žrebna lista'!$A$7:$R$38,2))</f>
        <v>6498</v>
      </c>
      <c r="V67" s="133">
        <v>23</v>
      </c>
      <c r="W67" s="133" t="str">
        <f>UPPER(IF($D$51="","",VLOOKUP($D$51,'[1]ž glavni turnir žrebna lista'!$A$7:$R$38,3)))</f>
        <v>ŠARABON</v>
      </c>
      <c r="X67" s="133" t="str">
        <f>PROPER(IF($D$51="","",VLOOKUP($D$51,'[1]ž glavni turnir žrebna lista'!$A$7:$R$38,4)))</f>
        <v>Lara</v>
      </c>
      <c r="Y67" s="131">
        <f>IF(W67="","",IF($U$52&lt;&gt;$U$51,"",IF($J$53="bb",1,IF($J$53="","0",$I$53))))</f>
      </c>
      <c r="Z67" s="131">
        <f>IF($W$45="","",IF($U$50&lt;&gt;$U$51,"",IF($L$51="bb",1,IF($L$51="","0",$K$48))))</f>
      </c>
      <c r="AA67" s="131">
        <f>IF($W$45="","",IF($U$46&lt;&gt;$U$51,"",IF($N$47="bb",1,IF($N$47="","0",$M$42))))</f>
      </c>
      <c r="AB67" s="131">
        <f>IF($W$45="","",IF($U$54&lt;&gt;$U$51,"",IF($P$55="bb",1,IF($P$55="","0",$O$62))))</f>
      </c>
      <c r="AC67" s="131">
        <f>IF($W$45="","",IF($U$38&lt;&gt;$U$51,"",IF($P$39="bb",1,IF($P$39="","0",$Q$22))))</f>
      </c>
      <c r="AD67" s="131"/>
      <c r="AE67" s="358">
        <f t="shared" si="3"/>
        <v>0</v>
      </c>
      <c r="AF67" s="133">
        <f>IF($C51="","",'ž glavni 32'!$C$51)</f>
        <v>6837</v>
      </c>
      <c r="AG67" s="133" t="str">
        <f>UPPER(IF($D$51="","",VLOOKUP($D$51,'[1]ž glavni turnir žrebna lista'!$A$7:$R$38,3)))</f>
        <v>ŠARABON</v>
      </c>
      <c r="AH67" s="133" t="str">
        <f>PROPER(IF($D$51="","",VLOOKUP($D$51,'[1]ž glavni turnir žrebna lista'!$A$7:$R$38,4)))</f>
        <v>Lara</v>
      </c>
      <c r="AI67" s="358">
        <f t="shared" si="4"/>
        <v>15</v>
      </c>
    </row>
    <row r="68" spans="1:35" s="83" customFormat="1" ht="9" customHeight="1">
      <c r="A68" s="89"/>
      <c r="B68" s="90"/>
      <c r="C68" s="90"/>
      <c r="D68" s="90"/>
      <c r="E68" s="91"/>
      <c r="F68" s="91"/>
      <c r="G68" s="92"/>
      <c r="H68" s="93" t="s">
        <v>23</v>
      </c>
      <c r="I68" s="94" t="s">
        <v>75</v>
      </c>
      <c r="J68" s="95" t="str">
        <f>UPPER(IF(OR(I68="a",I68="as"),E67,IF(OR(I68="b",I68="bs"),E69,)))</f>
        <v>VOVK</v>
      </c>
      <c r="K68" s="402">
        <f>IF(OR(I68="a",I68="as"),I67,IF(OR(I68="b",I68="bs"),I69,))</f>
        <v>40</v>
      </c>
      <c r="L68" s="76"/>
      <c r="M68" s="285"/>
      <c r="N68" s="113"/>
      <c r="O68" s="285"/>
      <c r="P68" s="56" t="s">
        <v>111</v>
      </c>
      <c r="Q68" s="406">
        <f>IF($C$2="B turnir",2,IF($Q$63=1,60,IF($Q$63=2,30,IF($Q$63=3,20,""))))</f>
        <v>30</v>
      </c>
      <c r="R68" s="82"/>
      <c r="U68" s="30">
        <f>IF(OR(I68="a",I68="as"),C67,IF(OR(I68="b",I68="bs"),C69,""))</f>
        <v>6593</v>
      </c>
      <c r="V68" s="133">
        <v>24</v>
      </c>
      <c r="W68" s="133" t="str">
        <f>UPPER(IF($D$53="","",VLOOKUP($D$53,'[1]ž glavni turnir žrebna lista'!$A$7:$R$38,3)))</f>
        <v>EMERŠIČ LJUBIČ</v>
      </c>
      <c r="X68" s="133" t="str">
        <f>PROPER(IF($D$53="","",VLOOKUP($D$53,'[1]ž glavni turnir žrebna lista'!$A$7:$R$38,4)))</f>
        <v>Kaja</v>
      </c>
      <c r="Y68" s="131">
        <f>IF(W68="","",IF($U$52&lt;&gt;$U$53,"",IF($J$53="bb",1,IF($J$53="","0",$I$51))))</f>
        <v>10</v>
      </c>
      <c r="Z68" s="131">
        <f>IF($W$45="","",IF($U$50&lt;&gt;$U$53,"",IF($L$51="bb",1,IF($L$51="","0",$K$48))))</f>
        <v>10</v>
      </c>
      <c r="AA68" s="131">
        <f>IF($W$45="","",IF($U$46&lt;&gt;$U$53,"",IF($N$47="bb",1,IF($N$47="","0",$M$42))))</f>
        <v>20</v>
      </c>
      <c r="AB68" s="131">
        <f>IF($W$45="","",IF($U$54&lt;&gt;$U$53,"",IF($P$55="bb",1,IF($P$55="","0",$O$62))))</f>
      </c>
      <c r="AC68" s="131">
        <f>IF($W$45="","",IF($U$38&lt;&gt;$U$53,"",IF($P$39="bb",1,IF($P$39="","0",$Q$22))))</f>
      </c>
      <c r="AD68" s="131"/>
      <c r="AE68" s="358">
        <f t="shared" si="3"/>
        <v>40</v>
      </c>
      <c r="AF68" s="133">
        <f>IF($C53="","",'ž glavni 32'!$C$53)</f>
        <v>6236</v>
      </c>
      <c r="AG68" s="133" t="str">
        <f>UPPER(IF($D$53="","",VLOOKUP($D$53,'[1]ž glavni turnir žrebna lista'!$A$7:$R$38,3)))</f>
        <v>EMERŠIČ LJUBIČ</v>
      </c>
      <c r="AH68" s="133" t="str">
        <f>PROPER(IF($D$53="","",VLOOKUP($D$53,'[1]ž glavni turnir žrebna lista'!$A$7:$R$38,4)))</f>
        <v>Kaja</v>
      </c>
      <c r="AI68" s="358">
        <f t="shared" si="4"/>
        <v>160</v>
      </c>
    </row>
    <row r="69" spans="1:35" s="83" customFormat="1" ht="9" customHeight="1">
      <c r="A69" s="72">
        <v>32</v>
      </c>
      <c r="B69" s="73" t="str">
        <f>IF($D69="","",VLOOKUP($D69,'[1]ž glavni turnir žrebna lista'!$A$7:$R$38,17))</f>
        <v>D</v>
      </c>
      <c r="C69" s="73">
        <f>IF($D69="","",VLOOKUP($D69,'[1]ž glavni turnir žrebna lista'!$A$7:$R$38,2))</f>
        <v>6593</v>
      </c>
      <c r="D69" s="74">
        <v>2</v>
      </c>
      <c r="E69" s="73" t="str">
        <f>UPPER(IF($D69="","",VLOOKUP($D69,'[1]ž glavni turnir žrebna lista'!$A$7:$R$38,3)))</f>
        <v>VOVK</v>
      </c>
      <c r="F69" s="73" t="str">
        <f>PROPER(IF($D69="","",VLOOKUP($D69,'[1]ž glavni turnir žrebna lista'!$A$7:$R$38,4)))</f>
        <v>Lara</v>
      </c>
      <c r="G69" s="73"/>
      <c r="H69" s="73" t="str">
        <f>IF($D69="","",VLOOKUP($D69,'[1]ž glavni turnir žrebna lista'!$A$7:$R$38,5))</f>
        <v>STRAŽ</v>
      </c>
      <c r="I69" s="402">
        <f>IF($D69="","",VLOOKUP($D69,'[1]ž glavni turnir žrebna lista'!$A$7:$R$38,14))</f>
        <v>40</v>
      </c>
      <c r="J69" s="76" t="s">
        <v>127</v>
      </c>
      <c r="K69" s="77"/>
      <c r="L69" s="76"/>
      <c r="M69" s="77"/>
      <c r="N69" s="78"/>
      <c r="O69" s="78"/>
      <c r="P69" s="56" t="s">
        <v>112</v>
      </c>
      <c r="Q69" s="406">
        <f>IF($C$2="B turnir",1,IF($Q$63=1,30,IF($Q$63=2,15,IF($Q$63=3,10,""))))</f>
        <v>15</v>
      </c>
      <c r="R69" s="82"/>
      <c r="U69" s="30">
        <f>IF($D69="","",VLOOKUP($D69,'[1]ž glavni turnir žrebna lista'!$A$7:$R$38,2))</f>
        <v>6593</v>
      </c>
      <c r="V69" s="133">
        <v>25</v>
      </c>
      <c r="W69" s="133" t="str">
        <f>UPPER(IF($D$55="","",VLOOKUP($D$55,'[1]ž glavni turnir žrebna lista'!$A$7:$R$38,3)))</f>
        <v>GLAVIČ</v>
      </c>
      <c r="X69" s="133" t="str">
        <f>PROPER(IF($D$55="","",VLOOKUP($D$55,'[1]ž glavni turnir žrebna lista'!$A$7:$R$38,4)))</f>
        <v>Lara</v>
      </c>
      <c r="Y69" s="131">
        <f>IF(W69="","",IF($U$56&lt;&gt;$U$55,"",IF($J$57="bb",1,IF($J$57="","0",$I$57))))</f>
        <v>10</v>
      </c>
      <c r="Z69" s="131">
        <f>IF($W$45="","",IF($U$58&lt;&gt;$U$55,"",IF($L$59="bb",1,IF($L$59="","0",$K$60))))</f>
        <v>10</v>
      </c>
      <c r="AA69" s="131">
        <f>IF($W$45="","",IF($U$62&lt;&gt;$U$55,"",IF($N$63="bb",1,IF($N$63="","0",$M$66))))</f>
      </c>
      <c r="AB69" s="131">
        <f>IF($W$45="","",IF($U$54&lt;&gt;$U$55,"",IF($P$55="bb",1,IF($P$55="","0",$O$46))))</f>
      </c>
      <c r="AC69" s="131">
        <f>IF($W$45="","",IF($U$38&lt;&gt;$U$55,"",IF($P$39="bb",1,IF($P$39="","0",$Q$22))))</f>
      </c>
      <c r="AD69" s="131"/>
      <c r="AE69" s="358">
        <f t="shared" si="3"/>
        <v>20</v>
      </c>
      <c r="AF69" s="133">
        <f>IF($C55="","",'ž glavni 32'!$C$55)</f>
        <v>6238</v>
      </c>
      <c r="AG69" s="133" t="str">
        <f>UPPER(IF($D$55="","",VLOOKUP($D$55,'[1]ž glavni turnir žrebna lista'!$A$7:$R$38,3)))</f>
        <v>GLAVIČ</v>
      </c>
      <c r="AH69" s="133" t="str">
        <f>PROPER(IF($D$55="","",VLOOKUP($D$55,'[1]ž glavni turnir žrebna lista'!$A$7:$R$38,4)))</f>
        <v>Lara</v>
      </c>
      <c r="AI69" s="358">
        <f t="shared" si="4"/>
        <v>80</v>
      </c>
    </row>
    <row r="70" spans="1:35" s="157" customFormat="1" ht="9" customHeight="1">
      <c r="A70" s="151"/>
      <c r="B70" s="151"/>
      <c r="C70" s="151"/>
      <c r="D70" s="151"/>
      <c r="E70" s="152"/>
      <c r="F70" s="152"/>
      <c r="G70" s="152"/>
      <c r="H70" s="152"/>
      <c r="I70" s="153"/>
      <c r="J70" s="154"/>
      <c r="K70" s="154"/>
      <c r="L70" s="154"/>
      <c r="M70" s="154"/>
      <c r="N70" s="154"/>
      <c r="O70" s="154"/>
      <c r="P70" s="154"/>
      <c r="Q70" s="154"/>
      <c r="R70" s="156"/>
      <c r="U70" s="30"/>
      <c r="V70" s="133">
        <v>26</v>
      </c>
      <c r="W70" s="133" t="str">
        <f>UPPER(IF($D$57="","",VLOOKUP($D$57,'[1]ž glavni turnir žrebna lista'!$A$7:$R$38,3)))</f>
        <v>PEROŠA</v>
      </c>
      <c r="X70" s="133" t="str">
        <f>PROPER(IF($D$57="","",VLOOKUP($D$57,'[1]ž glavni turnir žrebna lista'!$A$7:$R$38,4)))</f>
        <v>Silvija</v>
      </c>
      <c r="Y70" s="131">
        <f>IF(W70="","",IF($U$56&lt;&gt;$U$57,"",IF($J$57="bb",1,IF($J$57="","0",$I$55))))</f>
      </c>
      <c r="Z70" s="131">
        <f>IF($W$45="","",IF($U$58&lt;&gt;$U$57,"",IF($L$59="bb",1,IF($L$59="","0",$K$60))))</f>
      </c>
      <c r="AA70" s="131">
        <f>IF($W$45="","",IF($U$62&lt;&gt;$U$57,"",IF($N$63="bb",1,IF($N$63="","0",$M$66))))</f>
      </c>
      <c r="AB70" s="131">
        <f>IF($W$45="","",IF($U$54&lt;&gt;$U$57,"",IF($P$55="bb",1,IF($P$55="","0",$O$46))))</f>
      </c>
      <c r="AC70" s="131">
        <f>IF($W$45="","",IF($U$38&lt;&gt;$U$57,"",IF($P$39="bb",1,IF($P$39="","0",$Q$22))))</f>
      </c>
      <c r="AD70" s="131"/>
      <c r="AE70" s="358">
        <f t="shared" si="3"/>
        <v>0</v>
      </c>
      <c r="AF70" s="133">
        <f>IF($C57="","",'ž glavni 32'!$C$57)</f>
        <v>6907</v>
      </c>
      <c r="AG70" s="133" t="str">
        <f>UPPER(IF($D$57="","",VLOOKUP($D$57,'[1]ž glavni turnir žrebna lista'!$A$7:$R$38,3)))</f>
        <v>PEROŠA</v>
      </c>
      <c r="AH70" s="133" t="str">
        <f>PROPER(IF($D$57="","",VLOOKUP($D$57,'[1]ž glavni turnir žrebna lista'!$A$7:$R$38,4)))</f>
        <v>Silvija</v>
      </c>
      <c r="AI70" s="358">
        <f t="shared" si="4"/>
        <v>15</v>
      </c>
    </row>
    <row r="71" spans="1:35" s="170" customFormat="1" ht="10.5" customHeight="1">
      <c r="A71" s="158" t="s">
        <v>36</v>
      </c>
      <c r="B71" s="159"/>
      <c r="C71" s="160"/>
      <c r="D71" s="161" t="s">
        <v>37</v>
      </c>
      <c r="E71" s="162" t="s">
        <v>65</v>
      </c>
      <c r="F71" s="161"/>
      <c r="G71" s="163" t="s">
        <v>39</v>
      </c>
      <c r="H71" s="164" t="s">
        <v>40</v>
      </c>
      <c r="I71" s="165" t="s">
        <v>37</v>
      </c>
      <c r="J71" s="162" t="s">
        <v>133</v>
      </c>
      <c r="K71" s="166"/>
      <c r="L71" s="167" t="s">
        <v>42</v>
      </c>
      <c r="M71" s="407"/>
      <c r="N71" s="169" t="s">
        <v>43</v>
      </c>
      <c r="O71" s="169"/>
      <c r="P71" s="422" t="s">
        <v>134</v>
      </c>
      <c r="Q71" s="423"/>
      <c r="U71" s="30"/>
      <c r="V71" s="133">
        <v>27</v>
      </c>
      <c r="W71" s="133" t="str">
        <f>UPPER(IF($D$59="","",VLOOKUP($D$59,'[1]ž glavni turnir žrebna lista'!$A$7:$R$38,3)))</f>
        <v>GODEC</v>
      </c>
      <c r="X71" s="133" t="str">
        <f>PROPER(IF($D$59="","",VLOOKUP($D$59,'[1]ž glavni turnir žrebna lista'!$A$7:$R$38,4)))</f>
        <v>Kristina Tina</v>
      </c>
      <c r="Y71" s="131">
        <f>IF(W71="","",IF($U$60&lt;&gt;$U$59,"",IF($J$61="bb",1,IF($J$61="","0",$I$61))))</f>
      </c>
      <c r="Z71" s="131">
        <f>IF($W$45="","",IF($U$58&lt;&gt;$U$59,"",IF($L$59="bb",1,IF($L$59="","0",$K$56))))</f>
      </c>
      <c r="AA71" s="131">
        <f>IF($W$45="","",IF($U$62&lt;&gt;$U$59,"",IF($N$63="bb",1,IF($N$63="","0",$M$66))))</f>
      </c>
      <c r="AB71" s="131">
        <f>IF($W$45="","",IF($U$54&lt;&gt;$U$59,"",IF($P$55="bb",1,IF($P$55="","0",$O$46))))</f>
      </c>
      <c r="AC71" s="131">
        <f>IF($W$45="","",IF($U$38&lt;&gt;$U$59,"",IF($P$39="bb",1,IF($P$39="","0",$Q$22))))</f>
      </c>
      <c r="AD71" s="131"/>
      <c r="AE71" s="358">
        <f t="shared" si="3"/>
        <v>0</v>
      </c>
      <c r="AF71" s="133">
        <f>IF($C59="","",'ž glavni 32'!$C$59)</f>
        <v>7002</v>
      </c>
      <c r="AG71" s="133" t="str">
        <f>UPPER(IF($D$59="","",VLOOKUP($D$59,'[1]ž glavni turnir žrebna lista'!$A$7:$R$38,3)))</f>
        <v>GODEC</v>
      </c>
      <c r="AH71" s="133" t="str">
        <f>PROPER(IF($D$59="","",VLOOKUP($D$59,'[1]ž glavni turnir žrebna lista'!$A$7:$R$38,4)))</f>
        <v>Kristina Tina</v>
      </c>
      <c r="AI71" s="358">
        <f t="shared" si="4"/>
        <v>15</v>
      </c>
    </row>
    <row r="72" spans="1:35" s="170" customFormat="1" ht="9" customHeight="1">
      <c r="A72" s="172" t="s">
        <v>4</v>
      </c>
      <c r="B72" s="173"/>
      <c r="C72" s="174"/>
      <c r="D72" s="51">
        <v>1</v>
      </c>
      <c r="E72" s="175" t="str">
        <f>UPPER(IF($D72="","",VLOOKUP($D72,'[1]ž glavni turnir žrebna lista'!$A$7:$R$38,3)))</f>
        <v>OPARENOVIČ</v>
      </c>
      <c r="F72" s="51"/>
      <c r="G72" s="176">
        <f>IF($D72="","",VLOOKUP($D72,'[1]ž glavni turnir žrebna lista'!$A$7:$R$38,10))</f>
        <v>5</v>
      </c>
      <c r="H72" s="177">
        <f>IF($D72="","",VLOOKUP($D72,'[1]ž glavni turnir žrebna lista'!$A$7:$R$38,14))</f>
        <v>40</v>
      </c>
      <c r="I72" s="178" t="s">
        <v>45</v>
      </c>
      <c r="J72" s="173"/>
      <c r="K72" s="173"/>
      <c r="L72" s="173"/>
      <c r="M72" s="292"/>
      <c r="N72" s="180" t="s">
        <v>135</v>
      </c>
      <c r="O72" s="181"/>
      <c r="P72" s="181"/>
      <c r="Q72" s="292"/>
      <c r="U72" s="30"/>
      <c r="V72" s="133">
        <v>28</v>
      </c>
      <c r="W72" s="133" t="str">
        <f>UPPER(IF($D$61="","",VLOOKUP($D$61,'[1]ž glavni turnir žrebna lista'!$A$7:$R$38,3)))</f>
        <v>MERVIČ</v>
      </c>
      <c r="X72" s="133" t="str">
        <f>PROPER(IF($D$61="","",VLOOKUP($D$61,'[1]ž glavni turnir žrebna lista'!$A$7:$R$38,4)))</f>
        <v>Ana</v>
      </c>
      <c r="Y72" s="131">
        <f>IF(W72="","",IF($U$60&lt;&gt;$U$61,"",IF($J$61="bb",1,IF($J$61="","0",$I$59))))</f>
        <v>20</v>
      </c>
      <c r="Z72" s="131">
        <f>IF($W$45="","",IF($U$58&lt;&gt;$U$61,"",IF($L$59="bb",1,IF($L$59="","0",$K$56))))</f>
      </c>
      <c r="AA72" s="131">
        <f>IF($W$45="","",IF($U$62&lt;&gt;$U$61,"",IF($N$63="bb",1,IF($N$63="","0",$M$66))))</f>
      </c>
      <c r="AB72" s="131">
        <f>IF($W$45="","",IF($U$54&lt;&gt;$U$61,"",IF($P$55="bb",1,IF($P$55="","0",$O$46))))</f>
      </c>
      <c r="AC72" s="131">
        <f>IF($W$45="","",IF($U$38&lt;&gt;$U$61,"",IF($P$39="bb",1,IF($P$39="","0",$Q$22))))</f>
      </c>
      <c r="AD72" s="131"/>
      <c r="AE72" s="358">
        <f t="shared" si="3"/>
        <v>20</v>
      </c>
      <c r="AF72" s="133">
        <f>IF($C61="","",'ž glavni 32'!$C$61)</f>
        <v>7343</v>
      </c>
      <c r="AG72" s="133" t="str">
        <f>UPPER(IF($D$61="","",VLOOKUP($D$61,'[1]ž glavni turnir žrebna lista'!$A$7:$R$38,3)))</f>
        <v>MERVIČ</v>
      </c>
      <c r="AH72" s="133" t="str">
        <f>PROPER(IF($D$61="","",VLOOKUP($D$61,'[1]ž glavni turnir žrebna lista'!$A$7:$R$38,4)))</f>
        <v>Ana</v>
      </c>
      <c r="AI72" s="358">
        <f t="shared" si="4"/>
        <v>50</v>
      </c>
    </row>
    <row r="73" spans="1:35" s="170" customFormat="1" ht="9" customHeight="1">
      <c r="A73" s="424">
        <v>40695</v>
      </c>
      <c r="B73" s="425"/>
      <c r="C73" s="426"/>
      <c r="D73" s="51">
        <v>2</v>
      </c>
      <c r="E73" s="175" t="str">
        <f>UPPER(IF($D73="","",VLOOKUP($D73,'[1]ž glavni turnir žrebna lista'!$A$7:$R$38,3)))</f>
        <v>VOVK</v>
      </c>
      <c r="F73" s="51"/>
      <c r="G73" s="176">
        <f>IF($D73="","",VLOOKUP($D73,'[1]ž glavni turnir žrebna lista'!$A$7:$R$38,10))</f>
        <v>6</v>
      </c>
      <c r="H73" s="177">
        <f>IF($D73="","",VLOOKUP($D73,'[1]ž glavni turnir žrebna lista'!$A$7:$R$38,14))</f>
        <v>40</v>
      </c>
      <c r="I73" s="182" t="s">
        <v>47</v>
      </c>
      <c r="J73" s="173"/>
      <c r="K73" s="173"/>
      <c r="L73" s="173"/>
      <c r="M73" s="292"/>
      <c r="N73" s="183" t="s">
        <v>136</v>
      </c>
      <c r="O73" s="185"/>
      <c r="P73" s="185"/>
      <c r="Q73" s="294"/>
      <c r="U73" s="30"/>
      <c r="V73" s="133">
        <v>29</v>
      </c>
      <c r="W73" s="133" t="str">
        <f>UPPER(IF($D$63="","",VLOOKUP($D$63,'[1]ž glavni turnir žrebna lista'!$A$7:$R$38,3)))</f>
        <v>BURGER</v>
      </c>
      <c r="X73" s="133" t="str">
        <f>PROPER(IF($D$63="","",VLOOKUP($D$63,'[1]ž glavni turnir žrebna lista'!$A$7:$R$38,4)))</f>
        <v>Evgenija</v>
      </c>
      <c r="Y73" s="131">
        <f>IF(W73="","",IF($U$64&lt;&gt;$U$63,"",IF($J$65="bb",1,IF($J$65="","0",$I$65))))</f>
        <v>20</v>
      </c>
      <c r="Z73" s="131">
        <f>IF($W$45="","",IF($U$66&lt;&gt;$U$63,"",IF($L$67="bb",1,IF($L$67="","0",$K$68))))</f>
      </c>
      <c r="AA73" s="131">
        <f>IF($W$45="","",IF($U$62&lt;&gt;$U$63,"",IF($N$63="bb",1,IF($N$63="","0",$M$58))))</f>
      </c>
      <c r="AB73" s="131">
        <f>IF($W$45="","",IF($U$54&lt;&gt;$U$63,"",IF($P$55="bb",1,IF($P$55="","0",$O$46))))</f>
      </c>
      <c r="AC73" s="131">
        <f>IF($W$45="","",IF($U$38&lt;&gt;$U$63,"",IF($P$39="bb",1,IF($P$39="","0",$Q$22))))</f>
      </c>
      <c r="AD73" s="131"/>
      <c r="AE73" s="358">
        <f t="shared" si="3"/>
        <v>20</v>
      </c>
      <c r="AF73" s="133">
        <f>IF($C63="","",'ž glavni 32'!$C$63)</f>
        <v>6854</v>
      </c>
      <c r="AG73" s="133" t="str">
        <f>UPPER(IF($D$63="","",VLOOKUP($D$63,'[1]ž glavni turnir žrebna lista'!$A$7:$R$38,3)))</f>
        <v>BURGER</v>
      </c>
      <c r="AH73" s="133" t="str">
        <f>PROPER(IF($D$63="","",VLOOKUP($D$63,'[1]ž glavni turnir žrebna lista'!$A$7:$R$38,4)))</f>
        <v>Evgenija</v>
      </c>
      <c r="AI73" s="358">
        <f t="shared" si="4"/>
        <v>50</v>
      </c>
    </row>
    <row r="74" spans="1:35" s="170" customFormat="1" ht="9" customHeight="1">
      <c r="A74" s="187"/>
      <c r="B74" s="188"/>
      <c r="C74" s="189"/>
      <c r="D74" s="51">
        <v>3</v>
      </c>
      <c r="E74" s="175" t="str">
        <f>UPPER(IF($D74="","",VLOOKUP($D74,'[1]ž glavni turnir žrebna lista'!$A$7:$R$38,3)))</f>
        <v>JERŠE</v>
      </c>
      <c r="F74" s="51"/>
      <c r="G74" s="176">
        <f>IF($D74="","",VLOOKUP($D74,'[1]ž glavni turnir žrebna lista'!$A$7:$R$38,10))</f>
        <v>11</v>
      </c>
      <c r="H74" s="177">
        <f>IF($D74="","",VLOOKUP($D74,'[1]ž glavni turnir žrebna lista'!$A$7:$R$38,14))</f>
        <v>30</v>
      </c>
      <c r="I74" s="182" t="s">
        <v>49</v>
      </c>
      <c r="J74" s="173"/>
      <c r="K74" s="173"/>
      <c r="L74" s="173"/>
      <c r="M74" s="292"/>
      <c r="N74" s="180" t="s">
        <v>68</v>
      </c>
      <c r="O74" s="181"/>
      <c r="P74" s="181"/>
      <c r="Q74" s="292"/>
      <c r="U74" s="30"/>
      <c r="V74" s="133">
        <v>30</v>
      </c>
      <c r="W74" s="133" t="str">
        <f>UPPER(IF($D$65="","",VLOOKUP($D$65,'[1]ž glavni turnir žrebna lista'!$A$7:$R$38,3)))</f>
        <v>MEJAK</v>
      </c>
      <c r="X74" s="133" t="str">
        <f>PROPER(IF($D$65="","",VLOOKUP($D$65,'[1]ž glavni turnir žrebna lista'!$A$7:$R$38,4)))</f>
        <v>Mojca</v>
      </c>
      <c r="Y74" s="131">
        <f>IF(W74="","",IF($U$64&lt;&gt;$U$65,"",IF($J$65="bb",1,IF($J$65="","0",$I$63))))</f>
      </c>
      <c r="Z74" s="131">
        <f>IF($W$45="","",IF($U$66&lt;&gt;$U$65,"",IF($L$67="bb",1,IF($L$67="","0",$K$68))))</f>
      </c>
      <c r="AA74" s="131">
        <f>IF($W$45="","",IF($U$62&lt;&gt;$U$65,"",IF($N$63="bb",1,IF($N$63="","0",$M$58))))</f>
      </c>
      <c r="AB74" s="131">
        <f>IF($W$45="","",IF($U$54&lt;&gt;$U$65,"",IF($P$55="bb",1,IF($P$55="","0",$O$46))))</f>
      </c>
      <c r="AC74" s="131">
        <f>IF($W$45="","",IF($U$38&lt;&gt;$U$65,"",IF($P$39="bb",1,IF($P$39="","0",$Q$22))))</f>
      </c>
      <c r="AD74" s="131"/>
      <c r="AE74" s="358">
        <f t="shared" si="3"/>
        <v>0</v>
      </c>
      <c r="AF74" s="133">
        <f>IF($C65="","",'ž glavni 32'!$C$65)</f>
        <v>6250</v>
      </c>
      <c r="AG74" s="133" t="str">
        <f>UPPER(IF($D$65="","",VLOOKUP($D$65,'[1]ž glavni turnir žrebna lista'!$A$7:$R$38,3)))</f>
        <v>MEJAK</v>
      </c>
      <c r="AH74" s="133" t="str">
        <f>PROPER(IF($D$65="","",VLOOKUP($D$65,'[1]ž glavni turnir žrebna lista'!$A$7:$R$38,4)))</f>
        <v>Mojca</v>
      </c>
      <c r="AI74" s="358">
        <f t="shared" si="4"/>
        <v>15</v>
      </c>
    </row>
    <row r="75" spans="1:35" s="170" customFormat="1" ht="9" customHeight="1">
      <c r="A75" s="190"/>
      <c r="B75" s="50"/>
      <c r="C75" s="174"/>
      <c r="D75" s="51">
        <v>4</v>
      </c>
      <c r="E75" s="175" t="str">
        <f>UPPER(IF($D75="","",VLOOKUP($D75,'[1]ž glavni turnir žrebna lista'!$A$7:$R$38,3)))</f>
        <v>EMERŠIČ LJUBIČ</v>
      </c>
      <c r="F75" s="51"/>
      <c r="G75" s="176">
        <f>IF($D75="","",VLOOKUP($D75,'[1]ž glavni turnir žrebna lista'!$A$7:$R$38,10))</f>
        <v>12</v>
      </c>
      <c r="H75" s="177">
        <f>IF($D75="","",VLOOKUP($D75,'[1]ž glavni turnir žrebna lista'!$A$7:$R$38,14))</f>
        <v>30</v>
      </c>
      <c r="I75" s="182" t="s">
        <v>51</v>
      </c>
      <c r="J75" s="173"/>
      <c r="K75" s="173"/>
      <c r="L75" s="173"/>
      <c r="M75" s="292"/>
      <c r="N75" s="173" t="s">
        <v>137</v>
      </c>
      <c r="O75" s="173"/>
      <c r="P75" s="173"/>
      <c r="Q75" s="292"/>
      <c r="U75" s="30"/>
      <c r="V75" s="133">
        <v>31</v>
      </c>
      <c r="W75" s="133" t="str">
        <f>UPPER(IF($D$67="","",VLOOKUP($D$67,'[1]ž glavni turnir žrebna lista'!$A$7:$R$38,3)))</f>
        <v>SIRŠE</v>
      </c>
      <c r="X75" s="133" t="str">
        <f>PROPER(IF($D$67="","",VLOOKUP($D$67,'[1]ž glavni turnir žrebna lista'!$A$7:$R$38,4)))</f>
        <v>Sara</v>
      </c>
      <c r="Y75" s="131">
        <f>IF(W75="","",IF($U$68&lt;&gt;$U$67,"",IF($J$69="bb",1,IF($J$69="","0",$I$69))))</f>
      </c>
      <c r="Z75" s="131">
        <f>IF($W$45="","",IF($U$66&lt;&gt;$U$67,"",IF($L$67="bb",1,IF($L$67="","0",$K$64))))</f>
      </c>
      <c r="AA75" s="131">
        <f>IF($W$45="","",IF($U$62&lt;&gt;$U$67,"",IF($N$63="bb",1,IF($N$63="","0",$M$58))))</f>
      </c>
      <c r="AB75" s="131">
        <f>IF($W$45="","",IF($U$54&lt;&gt;$U$67,"",IF($P$55="bb",1,IF($P$55="","0",$O$46))))</f>
      </c>
      <c r="AC75" s="131">
        <f>IF($W$45="","",IF($U$38&lt;&gt;$U$67,"",IF($P$39="bb",1,IF($P$39="","0",$Q$22))))</f>
      </c>
      <c r="AD75" s="131"/>
      <c r="AE75" s="358">
        <f t="shared" si="3"/>
        <v>0</v>
      </c>
      <c r="AF75" s="133">
        <f>IF($C67="","",'ž glavni 32'!$C$67)</f>
        <v>6498</v>
      </c>
      <c r="AG75" s="133" t="str">
        <f>UPPER(IF($D$67="","",VLOOKUP($D$67,'[1]ž glavni turnir žrebna lista'!$A$7:$R$38,3)))</f>
        <v>SIRŠE</v>
      </c>
      <c r="AH75" s="133" t="str">
        <f>PROPER(IF($D$67="","",VLOOKUP($D$67,'[1]ž glavni turnir žrebna lista'!$A$7:$R$38,4)))</f>
        <v>Sara</v>
      </c>
      <c r="AI75" s="358">
        <f t="shared" si="4"/>
        <v>15</v>
      </c>
    </row>
    <row r="76" spans="1:35" s="170" customFormat="1" ht="9" customHeight="1">
      <c r="A76" s="191"/>
      <c r="B76" s="192"/>
      <c r="C76" s="193"/>
      <c r="D76" s="51">
        <v>5</v>
      </c>
      <c r="E76" s="175" t="str">
        <f>UPPER(IF($D76="","",VLOOKUP($D76,'[1]ž glavni turnir žrebna lista'!$A$7:$R$38,3)))</f>
        <v>GLAVIČ</v>
      </c>
      <c r="F76" s="51"/>
      <c r="G76" s="176">
        <f>IF($D76="","",VLOOKUP($D76,'[1]ž glavni turnir žrebna lista'!$A$7:$R$38,10))</f>
        <v>15</v>
      </c>
      <c r="H76" s="177">
        <f>IF($D76="","",VLOOKUP($D76,'[1]ž glavni turnir žrebna lista'!$A$7:$R$38,14))</f>
        <v>30</v>
      </c>
      <c r="I76" s="182" t="s">
        <v>52</v>
      </c>
      <c r="J76" s="173"/>
      <c r="K76" s="173"/>
      <c r="L76" s="173"/>
      <c r="M76" s="292"/>
      <c r="N76" s="185" t="s">
        <v>53</v>
      </c>
      <c r="O76" s="185"/>
      <c r="P76" s="185"/>
      <c r="Q76" s="294"/>
      <c r="U76" s="30"/>
      <c r="V76" s="133">
        <v>32</v>
      </c>
      <c r="W76" s="133" t="str">
        <f>UPPER(IF($D$69="","",VLOOKUP($D$69,'[1]ž glavni turnir žrebna lista'!$A$7:$R$38,3)))</f>
        <v>VOVK</v>
      </c>
      <c r="X76" s="133" t="str">
        <f>PROPER(IF($D$69="","",VLOOKUP($D$69,'[1]ž glavni turnir žrebna lista'!$A$7:$R$38,4)))</f>
        <v>Lara</v>
      </c>
      <c r="Y76" s="131">
        <f>IF(W76="","",IF($U$68&lt;&gt;$U$69,"",IF($J$69="bb",1,IF($J$69="","0",$I$67))))</f>
        <v>20</v>
      </c>
      <c r="Z76" s="131">
        <f>IF($W$45="","",IF($U$66&lt;&gt;$U$69,"",IF($L$67="bb",1,IF($L$67="","0",$K$64))))</f>
        <v>10</v>
      </c>
      <c r="AA76" s="131">
        <f>IF($W$45="","",IF($U$62&lt;&gt;$U$69,"",IF($N$63="bb",1,IF($N$63="","0",$M$58))))</f>
        <v>30</v>
      </c>
      <c r="AB76" s="131">
        <f>IF($W$45="","",IF($U$54&lt;&gt;$U$69,"",IF($P$55="bb",1,IF($P$55="","0",$O$46))))</f>
        <v>30</v>
      </c>
      <c r="AC76" s="131">
        <f>IF($W$45="","",IF($U$38&lt;&gt;$U$69,"",IF($P$39="bb",1,IF($P$39="","0",$Q$22))))</f>
        <v>40</v>
      </c>
      <c r="AD76" s="131"/>
      <c r="AE76" s="358">
        <f t="shared" si="3"/>
        <v>130</v>
      </c>
      <c r="AF76" s="133">
        <f>IF($C69="","",'ž glavni 32'!$C$69)</f>
        <v>6593</v>
      </c>
      <c r="AG76" s="133" t="str">
        <f>UPPER(IF($D$69="","",VLOOKUP($D$69,'[1]ž glavni turnir žrebna lista'!$A$7:$R$38,3)))</f>
        <v>VOVK</v>
      </c>
      <c r="AH76" s="133" t="str">
        <f>PROPER(IF($D$69="","",VLOOKUP($D$69,'[1]ž glavni turnir žrebna lista'!$A$7:$R$38,4)))</f>
        <v>Lara</v>
      </c>
      <c r="AI76" s="358">
        <f t="shared" si="4"/>
        <v>370</v>
      </c>
    </row>
    <row r="77" spans="1:59" s="170" customFormat="1" ht="9" customHeight="1">
      <c r="A77" s="172"/>
      <c r="B77" s="173"/>
      <c r="C77" s="174"/>
      <c r="D77" s="51">
        <v>6</v>
      </c>
      <c r="E77" s="175" t="str">
        <f>UPPER(IF($D77="","",VLOOKUP($D77,'[1]ž glavni turnir žrebna lista'!$A$7:$R$38,3)))</f>
        <v>BUKOVEC</v>
      </c>
      <c r="F77" s="51"/>
      <c r="G77" s="176">
        <f>IF($D77="","",VLOOKUP($D77,'[1]ž glavni turnir žrebna lista'!$A$7:$R$38,10))</f>
        <v>16</v>
      </c>
      <c r="H77" s="177">
        <f>IF($D77="","",VLOOKUP($D77,'[1]ž glavni turnir žrebna lista'!$A$7:$R$38,14))</f>
        <v>30</v>
      </c>
      <c r="I77" s="182" t="s">
        <v>54</v>
      </c>
      <c r="J77" s="173"/>
      <c r="K77" s="173"/>
      <c r="L77" s="173"/>
      <c r="M77" s="292"/>
      <c r="N77" s="180" t="s">
        <v>53</v>
      </c>
      <c r="O77" s="181"/>
      <c r="P77" s="181"/>
      <c r="Q77" s="292"/>
      <c r="U77" s="30"/>
      <c r="V77" s="378"/>
      <c r="W77" s="150"/>
      <c r="X77" s="150"/>
      <c r="Y77" s="131">
        <f>COUNTIF(Y45:Y76,"&gt;0")</f>
        <v>16</v>
      </c>
      <c r="Z77" s="131">
        <f>COUNTIF(Z45:Z76,"&gt;0")</f>
        <v>8</v>
      </c>
      <c r="AA77" s="131">
        <f>COUNTIF(AA45:AA76,"&gt;0")</f>
        <v>4</v>
      </c>
      <c r="AB77" s="131">
        <f>COUNTIF(AB45:AB76,"&gt;0")</f>
        <v>2</v>
      </c>
      <c r="AC77" s="131">
        <f>COUNTIF(AC45:AC76,"&gt;0")</f>
        <v>1</v>
      </c>
      <c r="AD77" s="131"/>
      <c r="AE77" s="131">
        <f>COUNTIF(AE45:AE76,"&gt;0")</f>
        <v>16</v>
      </c>
      <c r="AF77" s="171"/>
      <c r="AG77" s="171"/>
      <c r="AH77" s="171"/>
      <c r="AI77" s="131">
        <f>COUNTIF(AI45:AI76,"&gt;0")</f>
        <v>32</v>
      </c>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row>
    <row r="78" spans="1:59" s="170" customFormat="1" ht="9" customHeight="1">
      <c r="A78" s="172"/>
      <c r="B78" s="173"/>
      <c r="C78" s="195"/>
      <c r="D78" s="51">
        <v>7</v>
      </c>
      <c r="E78" s="175" t="str">
        <f>UPPER(IF($D78="","",VLOOKUP($D78,'[1]ž glavni turnir žrebna lista'!$A$7:$R$38,3)))</f>
        <v>REJC</v>
      </c>
      <c r="F78" s="51"/>
      <c r="G78" s="176">
        <f>IF($D78="","",VLOOKUP($D78,'[1]ž glavni turnir žrebna lista'!$A$7:$R$38,10))</f>
        <v>18</v>
      </c>
      <c r="H78" s="177">
        <f>IF($D78="","",VLOOKUP($D78,'[1]ž glavni turnir žrebna lista'!$A$7:$R$38,14))</f>
        <v>30</v>
      </c>
      <c r="I78" s="182" t="s">
        <v>55</v>
      </c>
      <c r="J78" s="173"/>
      <c r="K78" s="173"/>
      <c r="L78" s="173"/>
      <c r="M78" s="292"/>
      <c r="N78" s="173" t="s">
        <v>7</v>
      </c>
      <c r="O78" s="173"/>
      <c r="P78" s="417" t="str">
        <f>'[1]vnos podatkov'!$B$10</f>
        <v>Mladen Sredojevič</v>
      </c>
      <c r="Q78" s="418"/>
      <c r="U78" s="30"/>
      <c r="V78" s="378"/>
      <c r="W78" s="150"/>
      <c r="X78" s="150"/>
      <c r="Y78" s="131"/>
      <c r="Z78" s="131"/>
      <c r="AA78" s="131"/>
      <c r="AB78" s="131"/>
      <c r="AC78" s="131"/>
      <c r="AD78" s="131"/>
      <c r="AE78" s="194"/>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row>
    <row r="79" spans="1:32" s="170" customFormat="1" ht="9" customHeight="1">
      <c r="A79" s="196"/>
      <c r="B79" s="185"/>
      <c r="C79" s="197"/>
      <c r="D79" s="198">
        <v>8</v>
      </c>
      <c r="E79" s="183" t="str">
        <f>UPPER(IF($D79="","",VLOOKUP($D79,'[1]ž glavni turnir žrebna lista'!$A$7:$R$38,3)))</f>
        <v>HRKAČ</v>
      </c>
      <c r="F79" s="198"/>
      <c r="G79" s="199">
        <f>IF($D79="","",VLOOKUP($D79,'[1]ž glavni turnir žrebna lista'!$A$7:$R$38,10))</f>
        <v>22</v>
      </c>
      <c r="H79" s="200">
        <f>IF($D79="","",VLOOKUP($D79,'[1]ž glavni turnir žrebna lista'!$A$7:$R$38,14))</f>
        <v>20</v>
      </c>
      <c r="I79" s="201" t="s">
        <v>56</v>
      </c>
      <c r="J79" s="185"/>
      <c r="K79" s="185"/>
      <c r="L79" s="185"/>
      <c r="M79" s="294"/>
      <c r="N79" s="185" t="s">
        <v>58</v>
      </c>
      <c r="O79" s="185"/>
      <c r="P79" s="413" t="str">
        <f>'[1]vnos podatkov'!$E$10</f>
        <v>Anja Regent</v>
      </c>
      <c r="Q79" s="414"/>
      <c r="U79" s="30"/>
      <c r="V79" s="378"/>
      <c r="W79" s="150"/>
      <c r="X79" s="150"/>
      <c r="Y79" s="36"/>
      <c r="Z79" s="36"/>
      <c r="AA79" s="36"/>
      <c r="AB79" s="36"/>
      <c r="AC79" s="36"/>
      <c r="AD79" s="36"/>
      <c r="AE79" s="408"/>
      <c r="AF79" s="220"/>
    </row>
  </sheetData>
  <sheetProtection/>
  <mergeCells count="6">
    <mergeCell ref="P79:Q79"/>
    <mergeCell ref="P61:Q62"/>
    <mergeCell ref="V41:Z41"/>
    <mergeCell ref="A73:C73"/>
    <mergeCell ref="P78:Q78"/>
    <mergeCell ref="P71:Q71"/>
  </mergeCells>
  <conditionalFormatting sqref="G39 G41 G7 G9 G11 G13 G15 G17 G19 G23 G43 G45 G47 G49 G51 G53 G21 G25 G27 G29 G31 G33 G35 G37 G55 G57 G59 G61 G63 G65 G67 G69">
    <cfRule type="expression" priority="1" dxfId="10" stopIfTrue="1">
      <formula>AND($D7&lt;9,$C7&gt;0)</formula>
    </cfRule>
  </conditionalFormatting>
  <conditionalFormatting sqref="L10 L18 L26 L34 L42 L50 L58 L66 N14 N30 N46 N62 P22 P54 J8 J12 J16 J20 J24 J28 J32 J36 J40 J44 J48 J52 J56 J60 J64 J68">
    <cfRule type="expression" priority="2" dxfId="10" stopIfTrue="1">
      <formula>I8="as"</formula>
    </cfRule>
    <cfRule type="expression" priority="3" dxfId="10" stopIfTrue="1">
      <formula>I8="bs"</formula>
    </cfRule>
  </conditionalFormatting>
  <conditionalFormatting sqref="B69 B9 B11 B13 B15 B17 B19 B21 B23 B25 B27 B29 B31 B33 B35 B37 B39 B41 B43 B45 B47 B49 B51 B53 B55 B57 B59 B61 B63 B65 B67 B7">
    <cfRule type="cellIs" priority="4" dxfId="8" operator="equal" stopIfTrue="1">
      <formula>"QA"</formula>
    </cfRule>
    <cfRule type="cellIs" priority="5" dxfId="8" operator="equal" stopIfTrue="1">
      <formula>"DA"</formula>
    </cfRule>
  </conditionalFormatting>
  <conditionalFormatting sqref="K66 K58 K50 K42 K34 K26 K18 K10 M14 M30 M46 M62 O22 O54 O39 I12 I68 I8 I16 I20 I24 I28 I32 I36 I40 I44 I48 I52 I56 I60 I64">
    <cfRule type="expression" priority="6" dxfId="7" stopIfTrue="1">
      <formula>$N$1="CU"</formula>
    </cfRule>
  </conditionalFormatting>
  <conditionalFormatting sqref="P38">
    <cfRule type="expression" priority="7" dxfId="10" stopIfTrue="1">
      <formula>O39="as"</formula>
    </cfRule>
    <cfRule type="expression" priority="8" dxfId="10" stopIfTrue="1">
      <formula>O39="bs"</formula>
    </cfRule>
  </conditionalFormatting>
  <conditionalFormatting sqref="H8 H12 H56 H20 H24 H28 H32 H36 H40 H44 H48 H52 N22 H60 H64 H68 J66 J58 J50 J42 J34 J26 J18 J10 H16 L30 L46 L62 N54 N39 L14">
    <cfRule type="expression" priority="9" dxfId="4" stopIfTrue="1">
      <formula>AND($N$1="CU",H8="Sodnik")</formula>
    </cfRule>
    <cfRule type="expression" priority="10" dxfId="3" stopIfTrue="1">
      <formula>AND($N$1="CU",H8&lt;&gt;"Sodnik",I8&lt;&gt;"")</formula>
    </cfRule>
    <cfRule type="expression" priority="11" dxfId="2" stopIfTrue="1">
      <formula>AND($N$1="CU",H8&lt;&gt;"Sodnik")</formula>
    </cfRule>
  </conditionalFormatting>
  <conditionalFormatting sqref="I72">
    <cfRule type="expression" priority="12" dxfId="43" stopIfTrue="1">
      <formula>"I72=1"</formula>
    </cfRule>
  </conditionalFormatting>
  <conditionalFormatting sqref="D9 D11 D13 D15 D17 D19 D25 D27 D29 D31 D33 D35 D41 D43 D45 D47 D49 D51 D57 D59 D61 D63 D65 D67">
    <cfRule type="expression" priority="13" dxfId="1" stopIfTrue="1">
      <formula>$D9&gt;0</formula>
    </cfRule>
  </conditionalFormatting>
  <conditionalFormatting sqref="D7 D21 D23 D37 D39 D53 D55 D69">
    <cfRule type="expression" priority="14" dxfId="0" stopIfTrue="1">
      <formula>$D7&lt;&gt;""</formula>
    </cfRule>
  </conditionalFormatting>
  <dataValidations count="1">
    <dataValidation type="list" allowBlank="1" showInputMessage="1" sqref="H16 H20 H8 H24 H12 H36 H56 H40 H44 H48 H28 H32 H52 N22 H60 H64 H68 J66 J58 J50 J42 J34 J26 J18 L46 J10 L30 L62 N54 N39 L14">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V79"/>
  <sheetViews>
    <sheetView showGridLines="0" showZeros="0" zoomScalePageLayoutView="0" workbookViewId="0" topLeftCell="A1">
      <selection activeCell="P44" sqref="P44"/>
    </sheetView>
  </sheetViews>
  <sheetFormatPr defaultColWidth="9.140625" defaultRowHeight="12.75"/>
  <cols>
    <col min="1" max="1" width="3.421875" style="0" customWidth="1"/>
    <col min="2" max="2" width="4.5742187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04" customWidth="1"/>
    <col min="10" max="10" width="10.7109375" style="0" customWidth="1"/>
    <col min="11" max="11" width="1.7109375" style="204" customWidth="1"/>
    <col min="12" max="12" width="10.7109375" style="0" customWidth="1"/>
    <col min="13" max="13" width="1.7109375" style="203" customWidth="1"/>
    <col min="14" max="14" width="10.7109375" style="0" customWidth="1"/>
    <col min="15" max="15" width="1.7109375" style="204" customWidth="1"/>
    <col min="16" max="16" width="10.7109375" style="0" customWidth="1"/>
    <col min="17" max="17" width="1.7109375" style="203" customWidth="1"/>
    <col min="18" max="18" width="6.28125" style="0" customWidth="1"/>
    <col min="19" max="19" width="8.28125" style="0" customWidth="1"/>
    <col min="20" max="20" width="4.57421875" style="0" hidden="1" customWidth="1"/>
    <col min="21" max="21" width="8.421875" style="0" customWidth="1"/>
    <col min="22" max="22" width="7.421875" style="0" hidden="1" customWidth="1"/>
  </cols>
  <sheetData>
    <row r="1" spans="1:17" s="9" customFormat="1" ht="21.75" customHeight="1">
      <c r="A1" s="221" t="s">
        <v>169</v>
      </c>
      <c r="B1" s="222"/>
      <c r="I1" s="223"/>
      <c r="J1" s="224" t="s">
        <v>69</v>
      </c>
      <c r="K1" s="223"/>
      <c r="L1" s="225"/>
      <c r="M1" s="223"/>
      <c r="N1" s="223"/>
      <c r="O1" s="223"/>
      <c r="Q1" s="223"/>
    </row>
    <row r="2" spans="1:17" s="19" customFormat="1" ht="12.75">
      <c r="A2" s="13">
        <f>'[1]vnos podatkov'!$A$8</f>
        <v>16</v>
      </c>
      <c r="B2" s="14" t="str">
        <f>'[1]vnos podatkov'!$B$8</f>
        <v>mž</v>
      </c>
      <c r="C2" s="15" t="str">
        <f>'[1]vnos podatkov'!$C$8</f>
        <v>A turnir</v>
      </c>
      <c r="D2" s="226"/>
      <c r="F2" s="227"/>
      <c r="I2" s="203"/>
      <c r="J2" s="228" t="s">
        <v>70</v>
      </c>
      <c r="K2" s="225"/>
      <c r="L2" s="225"/>
      <c r="M2" s="203"/>
      <c r="O2" s="203"/>
      <c r="Q2" s="203"/>
    </row>
    <row r="3" spans="1:17" s="29" customFormat="1" ht="11.25" customHeight="1">
      <c r="A3" s="25" t="s">
        <v>3</v>
      </c>
      <c r="B3" s="229"/>
      <c r="C3" s="229"/>
      <c r="D3" s="25" t="s">
        <v>4</v>
      </c>
      <c r="E3" s="229"/>
      <c r="F3" s="411" t="s">
        <v>5</v>
      </c>
      <c r="G3" s="427"/>
      <c r="H3" s="427"/>
      <c r="I3" s="230"/>
      <c r="J3" s="25" t="s">
        <v>6</v>
      </c>
      <c r="K3" s="25"/>
      <c r="L3" s="231" t="s">
        <v>7</v>
      </c>
      <c r="M3" s="230"/>
      <c r="N3" s="26" t="s">
        <v>71</v>
      </c>
      <c r="O3" s="230"/>
      <c r="P3" s="229"/>
      <c r="Q3" s="232" t="s">
        <v>58</v>
      </c>
    </row>
    <row r="4" spans="1:17" s="45" customFormat="1" ht="11.25" customHeight="1" thickBot="1">
      <c r="A4" s="39" t="str">
        <f>'[1]vnos podatkov'!$D$8</f>
        <v>OP</v>
      </c>
      <c r="B4" s="233"/>
      <c r="C4" s="233"/>
      <c r="D4" s="233" t="str">
        <f>'[1]vnos podatkov'!$A$10</f>
        <v>20./22.7.2011</v>
      </c>
      <c r="E4" s="234"/>
      <c r="F4" s="428" t="str">
        <f>'[1]vnos podatkov'!$C$10</f>
        <v>TK Portorož</v>
      </c>
      <c r="G4" s="429"/>
      <c r="H4" s="429"/>
      <c r="I4" s="235"/>
      <c r="J4" s="41" t="s">
        <v>45</v>
      </c>
      <c r="K4" s="236"/>
      <c r="L4" s="237" t="str">
        <f>'[1]vnos podatkov'!$B$10</f>
        <v>Mladen Sredojevič</v>
      </c>
      <c r="M4" s="235"/>
      <c r="N4" s="43">
        <f>COUNTIF(D7:D69,"&gt;0")/2</f>
        <v>12</v>
      </c>
      <c r="O4" s="430" t="str">
        <f>'[1]vnos podatkov'!$E$10</f>
        <v>Anja Regent</v>
      </c>
      <c r="P4" s="431"/>
      <c r="Q4" s="431"/>
    </row>
    <row r="5" spans="1:17" s="29" customFormat="1" ht="9.75">
      <c r="A5" s="239"/>
      <c r="B5" s="176" t="s">
        <v>11</v>
      </c>
      <c r="C5" s="176" t="s">
        <v>12</v>
      </c>
      <c r="D5" s="176" t="s">
        <v>72</v>
      </c>
      <c r="E5" s="240" t="s">
        <v>14</v>
      </c>
      <c r="F5" s="240" t="s">
        <v>15</v>
      </c>
      <c r="G5" s="240"/>
      <c r="H5" s="240" t="s">
        <v>5</v>
      </c>
      <c r="I5" s="240"/>
      <c r="J5" s="176" t="s">
        <v>62</v>
      </c>
      <c r="K5" s="241"/>
      <c r="L5" s="176" t="s">
        <v>73</v>
      </c>
      <c r="M5" s="241"/>
      <c r="N5" s="176" t="s">
        <v>16</v>
      </c>
      <c r="O5" s="241"/>
      <c r="P5" s="176" t="s">
        <v>74</v>
      </c>
      <c r="Q5" s="242"/>
    </row>
    <row r="6" spans="1:17" s="29" customFormat="1" ht="3.75" customHeight="1" thickBot="1">
      <c r="A6" s="243"/>
      <c r="B6" s="37"/>
      <c r="C6" s="37"/>
      <c r="D6" s="37"/>
      <c r="E6" s="244"/>
      <c r="F6" s="244"/>
      <c r="G6" s="245"/>
      <c r="H6" s="244"/>
      <c r="I6" s="246"/>
      <c r="J6" s="37"/>
      <c r="K6" s="246"/>
      <c r="L6" s="37"/>
      <c r="M6" s="246"/>
      <c r="N6" s="37"/>
      <c r="O6" s="246"/>
      <c r="P6" s="37"/>
      <c r="Q6" s="247"/>
    </row>
    <row r="7" spans="1:22" s="83" customFormat="1" ht="10.5" customHeight="1">
      <c r="A7" s="248">
        <v>1</v>
      </c>
      <c r="B7" s="104" t="str">
        <f>IF($D7="","",VLOOKUP($D7,'[1]m dvojice žrebna lista '!$A$7:$BP$38,48))</f>
        <v>D</v>
      </c>
      <c r="C7" s="249" t="str">
        <f>UPPER(IF($D7="","",VLOOKUP($D7,'[1]m dvojice žrebna lista '!$A$7:$BL$38,2)))</f>
        <v>6279</v>
      </c>
      <c r="D7" s="74">
        <v>1</v>
      </c>
      <c r="E7" s="104" t="str">
        <f>UPPER(IF($D7="","",VLOOKUP($D7,'[1]m dvojice žrebna lista '!$A$7:$BL$38,3)))</f>
        <v>VOLK</v>
      </c>
      <c r="F7" s="104" t="str">
        <f>IF($D7="","",VLOOKUP($D7,'[1]m dvojice žrebna lista '!$A$7:$BL$38,4))</f>
        <v>LUKA</v>
      </c>
      <c r="G7" s="250"/>
      <c r="H7" s="104" t="str">
        <f>IF($D7="","",VLOOKUP($D7,'[1]m dvojice žrebna lista '!$A$7:$BL$38,5))</f>
        <v>TR-KR</v>
      </c>
      <c r="I7" s="75"/>
      <c r="J7" s="77"/>
      <c r="K7" s="119"/>
      <c r="L7" s="77"/>
      <c r="M7" s="119"/>
      <c r="N7" s="77"/>
      <c r="O7" s="119"/>
      <c r="P7" s="77"/>
      <c r="Q7" s="79"/>
      <c r="R7" s="82"/>
      <c r="T7" s="84" t="str">
        <f>'[1]glavni sodniki'!P21</f>
        <v>Sodnik</v>
      </c>
      <c r="V7" s="84" t="str">
        <f>F$7&amp;" "&amp;UPPER(E$7)&amp;" /"</f>
        <v>LUKA VOLK /</v>
      </c>
    </row>
    <row r="8" spans="1:22" s="83" customFormat="1" ht="9" customHeight="1">
      <c r="A8" s="251"/>
      <c r="B8" s="252"/>
      <c r="C8" s="253" t="str">
        <f>UPPER(IF($D8="","",VLOOKUP($D8,'[1]m dvojice žrebna lista '!$A$7:$BL$38,18)))</f>
        <v>6231</v>
      </c>
      <c r="D8" s="110">
        <f>IF(D7="","",D7)</f>
        <v>1</v>
      </c>
      <c r="E8" s="104" t="str">
        <f>UPPER(IF($D7="","",VLOOKUP($D7,'[1]m dvojice žrebna lista '!$A$7:$BL$38,19)))</f>
        <v>OGOREVC</v>
      </c>
      <c r="F8" s="104" t="str">
        <f>IF($D7="","",VLOOKUP($D7,'[1]m dvojice žrebna lista '!$A$7:$BL$38,20))</f>
        <v>NACE</v>
      </c>
      <c r="G8" s="250"/>
      <c r="H8" s="104" t="str">
        <f>IF($D7="","",VLOOKUP($D7,'[1]m dvojice žrebna lista '!$A$7:$BL$38,21))</f>
        <v>BENČ</v>
      </c>
      <c r="I8" s="254"/>
      <c r="J8" s="255">
        <f>IF(I8="a",E7,IF(I8="b",E9,""))</f>
      </c>
      <c r="K8" s="119"/>
      <c r="L8" s="77"/>
      <c r="M8" s="119"/>
      <c r="N8" s="77"/>
      <c r="O8" s="119"/>
      <c r="P8" s="77"/>
      <c r="Q8" s="79"/>
      <c r="R8" s="82"/>
      <c r="T8" s="97" t="str">
        <f>'[1]glavni sodniki'!P22</f>
        <v> </v>
      </c>
      <c r="V8" s="97" t="str">
        <f>"/ "&amp;F$8&amp;" "&amp;UPPER(E$8)</f>
        <v>/ NACE OGOREVC</v>
      </c>
    </row>
    <row r="9" spans="1:22" s="83" customFormat="1" ht="9" customHeight="1">
      <c r="A9" s="251"/>
      <c r="B9" s="90"/>
      <c r="C9" s="256"/>
      <c r="D9" s="90"/>
      <c r="E9" s="257"/>
      <c r="F9" s="257"/>
      <c r="G9" s="245"/>
      <c r="H9" s="257"/>
      <c r="I9" s="258"/>
      <c r="J9" s="259" t="str">
        <f>UPPER(IF(OR(I10="a",I10="as"),E7,IF(OR(I10="b",I10="bs"),E11,)))</f>
        <v>VOLK</v>
      </c>
      <c r="K9" s="260"/>
      <c r="L9" s="77"/>
      <c r="M9" s="119"/>
      <c r="N9" s="77"/>
      <c r="O9" s="119"/>
      <c r="P9" s="77"/>
      <c r="Q9" s="79"/>
      <c r="R9" s="82"/>
      <c r="T9" s="97" t="str">
        <f>'[1]glavni sodniki'!P23</f>
        <v> </v>
      </c>
      <c r="V9" s="97" t="str">
        <f>F$11&amp;" "&amp;UPPER(E$11)&amp;" /"</f>
        <v> PROSTO /</v>
      </c>
    </row>
    <row r="10" spans="1:22" s="83" customFormat="1" ht="9" customHeight="1">
      <c r="A10" s="251"/>
      <c r="B10" s="90"/>
      <c r="C10" s="256"/>
      <c r="D10" s="90"/>
      <c r="E10" s="257"/>
      <c r="F10" s="257"/>
      <c r="G10" s="245"/>
      <c r="H10" s="93" t="s">
        <v>23</v>
      </c>
      <c r="I10" s="111" t="s">
        <v>24</v>
      </c>
      <c r="J10" s="261" t="str">
        <f>UPPER(IF(OR(I10="a",I10="as"),E8,IF(OR(I10="b",I10="bs"),E12,)))</f>
        <v>OGOREVC</v>
      </c>
      <c r="K10" s="262"/>
      <c r="L10" s="77"/>
      <c r="M10" s="119"/>
      <c r="N10" s="77"/>
      <c r="O10" s="119"/>
      <c r="P10" s="77"/>
      <c r="Q10" s="79"/>
      <c r="R10" s="82"/>
      <c r="T10" s="97" t="str">
        <f>'[1]glavni sodniki'!P24</f>
        <v> </v>
      </c>
      <c r="V10" s="97" t="str">
        <f>"/ "&amp;F$12&amp;" "&amp;UPPER(E$12)</f>
        <v>/  </v>
      </c>
    </row>
    <row r="11" spans="1:22" s="83" customFormat="1" ht="9" customHeight="1">
      <c r="A11" s="251">
        <v>2</v>
      </c>
      <c r="B11" s="103">
        <f>IF($D11="","",VLOOKUP($D11,'[1]m dvojice žrebna lista '!$A$7:$BP$38,48))</f>
      </c>
      <c r="C11" s="263">
        <f>UPPER(IF($D11="","",VLOOKUP($D11,'[1]m dvojice žrebna lista '!$A$7:$BL$38,2)))</f>
      </c>
      <c r="D11" s="74"/>
      <c r="E11" s="104" t="s">
        <v>25</v>
      </c>
      <c r="F11" s="104">
        <f>IF($D11="","",VLOOKUP($D11,'[1]m dvojice žrebna lista '!$A$7:$BL$38,4))</f>
      </c>
      <c r="G11" s="250"/>
      <c r="H11" s="104">
        <f>IF($D11="","",VLOOKUP($D11,'[1]m dvojice žrebna lista '!$A$7:$BL$38,5))</f>
      </c>
      <c r="I11" s="105"/>
      <c r="J11" s="77"/>
      <c r="K11" s="114"/>
      <c r="L11" s="264"/>
      <c r="M11" s="260"/>
      <c r="N11" s="77"/>
      <c r="O11" s="119"/>
      <c r="P11" s="77"/>
      <c r="Q11" s="79"/>
      <c r="R11" s="82"/>
      <c r="T11" s="97" t="str">
        <f>'[1]glavni sodniki'!P25</f>
        <v> </v>
      </c>
      <c r="V11" s="97" t="str">
        <f>F$15&amp;" "&amp;UPPER(E$15)&amp;" /"</f>
        <v>ŽIGA DERNIČ /</v>
      </c>
    </row>
    <row r="12" spans="1:22" s="83" customFormat="1" ht="9" customHeight="1">
      <c r="A12" s="251"/>
      <c r="B12" s="265"/>
      <c r="C12" s="266">
        <f>UPPER(IF($D12="","",VLOOKUP($D12,'[1]m dvojice žrebna lista '!$A$7:$BL$38,18)))</f>
      </c>
      <c r="D12" s="110">
        <f>IF(D11="","",D11)</f>
      </c>
      <c r="E12" s="104">
        <f>UPPER(IF($D11="","",VLOOKUP($D11,'[1]m dvojice žrebna lista '!$A$7:$BL$38,19)))</f>
      </c>
      <c r="F12" s="104">
        <f>IF($D11="","",VLOOKUP($D11,'[1]m dvojice žrebna lista '!$A$7:$BL$38,20))</f>
      </c>
      <c r="G12" s="250"/>
      <c r="H12" s="104">
        <f>IF($D11="","",VLOOKUP($D11,'[1]m dvojice žrebna lista '!$A$7:$BL$38,21))</f>
      </c>
      <c r="I12" s="254"/>
      <c r="J12" s="77"/>
      <c r="K12" s="114"/>
      <c r="L12" s="267"/>
      <c r="M12" s="268"/>
      <c r="N12" s="77"/>
      <c r="O12" s="119"/>
      <c r="P12" s="77"/>
      <c r="Q12" s="79"/>
      <c r="R12" s="82"/>
      <c r="T12" s="97" t="str">
        <f>'[1]glavni sodniki'!P26</f>
        <v> </v>
      </c>
      <c r="V12" s="97" t="str">
        <f>"/ "&amp;F$16&amp;" "&amp;UPPER(E$16)</f>
        <v>/ URBAN DACAR</v>
      </c>
    </row>
    <row r="13" spans="1:22" s="83" customFormat="1" ht="9" customHeight="1">
      <c r="A13" s="251"/>
      <c r="B13" s="90"/>
      <c r="C13" s="256"/>
      <c r="D13" s="109"/>
      <c r="E13" s="257"/>
      <c r="F13" s="257"/>
      <c r="G13" s="245"/>
      <c r="H13" s="257"/>
      <c r="I13" s="110"/>
      <c r="J13" s="77"/>
      <c r="K13" s="258"/>
      <c r="L13" s="259" t="str">
        <f>UPPER(IF(OR(K14="a",K14="as"),J9,IF(OR(K14="b",K14="bs"),J17,)))</f>
        <v>LOVIŠČEK</v>
      </c>
      <c r="M13" s="119"/>
      <c r="N13" s="77"/>
      <c r="O13" s="119"/>
      <c r="P13" s="77"/>
      <c r="Q13" s="79"/>
      <c r="R13" s="82"/>
      <c r="T13" s="97" t="str">
        <f>'[1]glavni sodniki'!P27</f>
        <v> </v>
      </c>
      <c r="V13" s="97" t="str">
        <f>F$19&amp;" "&amp;UPPER(E$19)&amp;" /"</f>
        <v>ANŽE LOVIŠČEK /</v>
      </c>
    </row>
    <row r="14" spans="1:22" s="83" customFormat="1" ht="9" customHeight="1">
      <c r="A14" s="251"/>
      <c r="B14" s="90"/>
      <c r="C14" s="256"/>
      <c r="D14" s="109"/>
      <c r="E14" s="257"/>
      <c r="F14" s="257"/>
      <c r="G14" s="245"/>
      <c r="H14" s="257"/>
      <c r="I14" s="110"/>
      <c r="J14" s="93" t="s">
        <v>23</v>
      </c>
      <c r="K14" s="111" t="s">
        <v>26</v>
      </c>
      <c r="L14" s="261" t="str">
        <f>UPPER(IF(OR(K14="a",K14="as"),J10,IF(OR(K14="b",K14="bs"),J18,)))</f>
        <v>CVETKOVIČ</v>
      </c>
      <c r="M14" s="262"/>
      <c r="N14" s="77"/>
      <c r="O14" s="119"/>
      <c r="P14" s="77"/>
      <c r="Q14" s="79"/>
      <c r="R14" s="82"/>
      <c r="T14" s="97" t="str">
        <f>'[1]glavni sodniki'!P28</f>
        <v> </v>
      </c>
      <c r="V14" s="97" t="str">
        <f>"/ "&amp;F$20&amp;" "&amp;UPPER(E$20)</f>
        <v>/ TOM CVETKOVIČ</v>
      </c>
    </row>
    <row r="15" spans="1:22" s="83" customFormat="1" ht="9" customHeight="1">
      <c r="A15" s="269">
        <v>3</v>
      </c>
      <c r="B15" s="103" t="str">
        <f>IF($D15="","",VLOOKUP($D15,'[1]m dvojice žrebna lista '!$A$7:$BP$38,48))</f>
        <v>D</v>
      </c>
      <c r="C15" s="263" t="str">
        <f>UPPER(IF($D15="","",VLOOKUP($D15,'[1]m dvojice žrebna lista '!$A$7:$BL$38,2)))</f>
        <v>6575</v>
      </c>
      <c r="D15" s="74">
        <v>10</v>
      </c>
      <c r="E15" s="104" t="str">
        <f>UPPER(IF($D15="","",VLOOKUP($D15,'[1]m dvojice žrebna lista '!$A$7:$BL$38,3)))</f>
        <v>DERNIČ</v>
      </c>
      <c r="F15" s="104" t="str">
        <f>IF($D15="","",VLOOKUP($D15,'[1]m dvojice žrebna lista '!$A$7:$BL$38,4))</f>
        <v>ŽIGA</v>
      </c>
      <c r="G15" s="250"/>
      <c r="H15" s="104" t="str">
        <f>IF($D15="","",VLOOKUP($D15,'[1]m dvojice žrebna lista '!$A$7:$BL$38,5))</f>
        <v>PORTO</v>
      </c>
      <c r="I15" s="75"/>
      <c r="J15" s="77"/>
      <c r="K15" s="114"/>
      <c r="L15" s="77" t="s">
        <v>167</v>
      </c>
      <c r="M15" s="114"/>
      <c r="N15" s="264"/>
      <c r="O15" s="119"/>
      <c r="P15" s="77"/>
      <c r="Q15" s="79"/>
      <c r="R15" s="82"/>
      <c r="T15" s="97" t="str">
        <f>'[1]glavni sodniki'!P29</f>
        <v> </v>
      </c>
      <c r="V15" s="97" t="str">
        <f>F$23&amp;" "&amp;UPPER(E$23)&amp;" /"</f>
        <v>SEBASTIJAN GORŠIČ /</v>
      </c>
    </row>
    <row r="16" spans="1:22" s="83" customFormat="1" ht="9" customHeight="1" thickBot="1">
      <c r="A16" s="251"/>
      <c r="B16" s="265"/>
      <c r="C16" s="266" t="str">
        <f>UPPER(IF($D16="","",VLOOKUP($D16,'[1]m dvojice žrebna lista '!$A$7:$BL$38,18)))</f>
        <v>6680</v>
      </c>
      <c r="D16" s="110">
        <f>IF(D15="","",D15)</f>
        <v>10</v>
      </c>
      <c r="E16" s="104" t="str">
        <f>UPPER(IF($D15="","",VLOOKUP($D15,'[1]m dvojice žrebna lista '!$A$7:$BL$38,19)))</f>
        <v>DACAR</v>
      </c>
      <c r="F16" s="104" t="str">
        <f>IF($D15="","",VLOOKUP($D15,'[1]m dvojice žrebna lista '!$A$7:$BL$38,20))</f>
        <v>URBAN</v>
      </c>
      <c r="G16" s="250"/>
      <c r="H16" s="104" t="str">
        <f>IF($D15="","",VLOOKUP($D15,'[1]m dvojice žrebna lista '!$A$7:$BL$38,21))</f>
        <v>TOPTE</v>
      </c>
      <c r="I16" s="254"/>
      <c r="J16" s="255">
        <f>IF(I16="a",E15,IF(I16="b",E17,""))</f>
      </c>
      <c r="K16" s="114"/>
      <c r="L16" s="77"/>
      <c r="M16" s="114"/>
      <c r="N16" s="77"/>
      <c r="O16" s="119"/>
      <c r="P16" s="77"/>
      <c r="Q16" s="79"/>
      <c r="R16" s="82"/>
      <c r="T16" s="125" t="str">
        <f>'[1]glavni sodniki'!P30</f>
        <v>Brez sodnika</v>
      </c>
      <c r="V16" s="97" t="str">
        <f>"/ "&amp;F$24&amp;" "&amp;UPPER(E$24)</f>
        <v>/ DORIAN TOMAŽ JANEŽIČ</v>
      </c>
    </row>
    <row r="17" spans="1:22" s="83" customFormat="1" ht="9" customHeight="1">
      <c r="A17" s="251"/>
      <c r="B17" s="90"/>
      <c r="C17" s="256"/>
      <c r="D17" s="109"/>
      <c r="E17" s="257"/>
      <c r="F17" s="257"/>
      <c r="G17" s="245"/>
      <c r="H17" s="257"/>
      <c r="I17" s="258"/>
      <c r="J17" s="259" t="str">
        <f>UPPER(IF(OR(I18="a",I18="as"),E15,IF(OR(I18="b",I18="bs"),E19,)))</f>
        <v>LOVIŠČEK</v>
      </c>
      <c r="K17" s="107"/>
      <c r="L17" s="77"/>
      <c r="M17" s="114"/>
      <c r="N17" s="77"/>
      <c r="O17" s="119"/>
      <c r="P17" s="77"/>
      <c r="Q17" s="79"/>
      <c r="R17" s="82"/>
      <c r="V17" s="97" t="str">
        <f>F$27&amp;" "&amp;UPPER(E$27)&amp;" /"</f>
        <v> PROSTO /</v>
      </c>
    </row>
    <row r="18" spans="1:22" s="83" customFormat="1" ht="9" customHeight="1">
      <c r="A18" s="251"/>
      <c r="B18" s="90"/>
      <c r="C18" s="256"/>
      <c r="D18" s="109"/>
      <c r="E18" s="257"/>
      <c r="F18" s="257"/>
      <c r="G18" s="245"/>
      <c r="H18" s="93" t="s">
        <v>23</v>
      </c>
      <c r="I18" s="111" t="s">
        <v>26</v>
      </c>
      <c r="J18" s="261" t="str">
        <f>UPPER(IF(OR(I18="a",I18="as"),E16,IF(OR(I18="b",I18="bs"),E20,)))</f>
        <v>CVETKOVIČ</v>
      </c>
      <c r="K18" s="254"/>
      <c r="L18" s="77"/>
      <c r="M18" s="114"/>
      <c r="N18" s="77"/>
      <c r="O18" s="119"/>
      <c r="P18" s="77"/>
      <c r="Q18" s="79"/>
      <c r="R18" s="82"/>
      <c r="V18" s="97" t="str">
        <f>"/ "&amp;F$28&amp;" "&amp;UPPER(E$28)</f>
        <v>/  </v>
      </c>
    </row>
    <row r="19" spans="1:22" s="83" customFormat="1" ht="9" customHeight="1">
      <c r="A19" s="251">
        <v>4</v>
      </c>
      <c r="B19" s="103" t="str">
        <f>IF($D19="","",VLOOKUP($D19,'[1]m dvojice žrebna lista '!$A$7:$BP$38,48))</f>
        <v>D</v>
      </c>
      <c r="C19" s="263" t="str">
        <f>UPPER(IF($D19="","",VLOOKUP($D19,'[1]m dvojice žrebna lista '!$A$7:$BL$38,2)))</f>
        <v>6228</v>
      </c>
      <c r="D19" s="74">
        <v>8</v>
      </c>
      <c r="E19" s="104" t="str">
        <f>UPPER(IF($D19="","",VLOOKUP($D19,'[1]m dvojice žrebna lista '!$A$7:$BL$38,3)))</f>
        <v>LOVIŠČEK</v>
      </c>
      <c r="F19" s="104" t="str">
        <f>IF($D19="","",VLOOKUP($D19,'[1]m dvojice žrebna lista '!$A$7:$BL$38,4))</f>
        <v>ANŽE</v>
      </c>
      <c r="G19" s="250"/>
      <c r="H19" s="104" t="str">
        <f>IF($D19="","",VLOOKUP($D19,'[1]m dvojice žrebna lista '!$A$7:$BL$38,5))</f>
        <v>TABRE</v>
      </c>
      <c r="I19" s="105"/>
      <c r="J19" s="77" t="s">
        <v>163</v>
      </c>
      <c r="K19" s="119"/>
      <c r="L19" s="264"/>
      <c r="M19" s="107"/>
      <c r="N19" s="77"/>
      <c r="O19" s="119"/>
      <c r="P19" s="77"/>
      <c r="Q19" s="79"/>
      <c r="R19" s="82"/>
      <c r="V19" s="97" t="str">
        <f>F$31&amp;" "&amp;UPPER(E$31)&amp;" /"</f>
        <v>JAN DERNIČ /</v>
      </c>
    </row>
    <row r="20" spans="1:22" s="83" customFormat="1" ht="9" customHeight="1">
      <c r="A20" s="251"/>
      <c r="B20" s="265"/>
      <c r="C20" s="266" t="str">
        <f>UPPER(IF($D20="","",VLOOKUP($D20,'[1]m dvojice žrebna lista '!$A$7:$BL$38,18)))</f>
        <v>6242</v>
      </c>
      <c r="D20" s="110">
        <f>IF(D19="","",D19)</f>
        <v>8</v>
      </c>
      <c r="E20" s="104" t="str">
        <f>UPPER(IF($D19="","",VLOOKUP($D19,'[1]m dvojice žrebna lista '!$A$7:$BL$38,19)))</f>
        <v>CVETKOVIČ</v>
      </c>
      <c r="F20" s="104" t="str">
        <f>IF($D19="","",VLOOKUP($D19,'[1]m dvojice žrebna lista '!$A$7:$BL$38,20))</f>
        <v>TOM</v>
      </c>
      <c r="G20" s="250"/>
      <c r="H20" s="104" t="str">
        <f>IF($D19="","",VLOOKUP($D19,'[1]m dvojice žrebna lista '!$A$7:$BL$38,21))</f>
        <v>RADOV</v>
      </c>
      <c r="I20" s="254"/>
      <c r="J20" s="77"/>
      <c r="K20" s="119"/>
      <c r="L20" s="267"/>
      <c r="M20" s="270"/>
      <c r="N20" s="77"/>
      <c r="O20" s="119"/>
      <c r="P20" s="77"/>
      <c r="Q20" s="79"/>
      <c r="R20" s="82"/>
      <c r="V20" s="97" t="str">
        <f>"/ "&amp;F$32&amp;" "&amp;UPPER(E$32)</f>
        <v>/ JAKOB BREC</v>
      </c>
    </row>
    <row r="21" spans="1:22" s="83" customFormat="1" ht="9" customHeight="1">
      <c r="A21" s="251"/>
      <c r="B21" s="90"/>
      <c r="C21" s="256"/>
      <c r="D21" s="90"/>
      <c r="E21" s="257"/>
      <c r="F21" s="257"/>
      <c r="G21" s="245"/>
      <c r="H21" s="257"/>
      <c r="I21" s="110"/>
      <c r="J21" s="77"/>
      <c r="K21" s="119"/>
      <c r="L21" s="77"/>
      <c r="M21" s="258"/>
      <c r="N21" s="259" t="str">
        <f>UPPER(IF(OR(M22="a",M22="as"),L13,IF(OR(M22="b",M22="bs"),L29,)))</f>
        <v>GORŠIČ</v>
      </c>
      <c r="O21" s="119"/>
      <c r="P21" s="77"/>
      <c r="Q21" s="79"/>
      <c r="R21" s="82"/>
      <c r="V21" s="97" t="str">
        <f>F$35&amp;" "&amp;UPPER(E$35)&amp;" /"</f>
        <v>ŽIGA GAŠPERŠIČ /</v>
      </c>
    </row>
    <row r="22" spans="1:22" s="83" customFormat="1" ht="9" customHeight="1">
      <c r="A22" s="251"/>
      <c r="B22" s="90"/>
      <c r="C22" s="256"/>
      <c r="D22" s="90"/>
      <c r="E22" s="257"/>
      <c r="F22" s="257"/>
      <c r="G22" s="245"/>
      <c r="H22" s="257"/>
      <c r="I22" s="110"/>
      <c r="J22" s="77"/>
      <c r="K22" s="119"/>
      <c r="L22" s="93" t="s">
        <v>23</v>
      </c>
      <c r="M22" s="111" t="s">
        <v>154</v>
      </c>
      <c r="N22" s="261" t="str">
        <f>UPPER(IF(OR(M22="a",M22="as"),L14,IF(OR(M22="b",M22="bs"),L30,)))</f>
        <v>JANEŽIČ</v>
      </c>
      <c r="O22" s="262"/>
      <c r="P22" s="77"/>
      <c r="Q22" s="79"/>
      <c r="R22" s="82"/>
      <c r="V22" s="97" t="str">
        <f>"/ "&amp;F$36&amp;" "&amp;UPPER(E$36)</f>
        <v>/ GREGOR GAŠPERŠIČ</v>
      </c>
    </row>
    <row r="23" spans="1:22" s="83" customFormat="1" ht="9" customHeight="1">
      <c r="A23" s="248">
        <v>5</v>
      </c>
      <c r="B23" s="104" t="str">
        <f>IF($D23="","",VLOOKUP($D23,'[1]m dvojice žrebna lista '!$A$7:$BP$38,48))</f>
        <v>D</v>
      </c>
      <c r="C23" s="271" t="str">
        <f>UPPER(IF($D23="","",VLOOKUP($D23,'[1]m dvojice žrebna lista '!$A$7:$BL$38,2)))</f>
        <v>5971</v>
      </c>
      <c r="D23" s="74">
        <v>3</v>
      </c>
      <c r="E23" s="104" t="str">
        <f>UPPER(IF($D23="","",VLOOKUP($D23,'[1]m dvojice žrebna lista '!$A$7:$BL$38,3)))</f>
        <v>GORŠIČ</v>
      </c>
      <c r="F23" s="104" t="str">
        <f>IF($D23="","",VLOOKUP($D23,'[1]m dvojice žrebna lista '!$A$7:$BL$38,4))</f>
        <v>SEBASTIJAN</v>
      </c>
      <c r="G23" s="250"/>
      <c r="H23" s="104" t="str">
        <f>IF($D23="","",VLOOKUP($D23,'[1]m dvojice žrebna lista '!$A$7:$BL$38,5))</f>
        <v>SL-LJ</v>
      </c>
      <c r="I23" s="75"/>
      <c r="J23" s="77"/>
      <c r="K23" s="119"/>
      <c r="L23" s="77"/>
      <c r="M23" s="114"/>
      <c r="N23" s="77" t="s">
        <v>177</v>
      </c>
      <c r="O23" s="114"/>
      <c r="P23" s="77"/>
      <c r="Q23" s="79"/>
      <c r="R23" s="82"/>
      <c r="V23" s="97" t="str">
        <f>F$39&amp;" "&amp;UPPER(E$39)&amp;" /"</f>
        <v>VID FUGINA /</v>
      </c>
    </row>
    <row r="24" spans="1:22" s="83" customFormat="1" ht="9" customHeight="1">
      <c r="A24" s="251"/>
      <c r="B24" s="265"/>
      <c r="C24" s="253" t="str">
        <f>UPPER(IF($D24="","",VLOOKUP($D24,'[1]m dvojice žrebna lista '!$A$7:$BL$38,18)))</f>
        <v>5930</v>
      </c>
      <c r="D24" s="110">
        <f>IF(D23="","",D23)</f>
        <v>3</v>
      </c>
      <c r="E24" s="104" t="str">
        <f>UPPER(IF($D23="","",VLOOKUP($D23,'[1]m dvojice žrebna lista '!$A$7:$BL$38,19)))</f>
        <v>JANEŽIČ</v>
      </c>
      <c r="F24" s="104" t="str">
        <f>IF($D23="","",VLOOKUP($D23,'[1]m dvojice žrebna lista '!$A$7:$BL$38,20))</f>
        <v>DORIAN TOMAŽ</v>
      </c>
      <c r="G24" s="250"/>
      <c r="H24" s="104" t="str">
        <f>IF($D23="","",VLOOKUP($D23,'[1]m dvojice žrebna lista '!$A$7:$BL$38,21))</f>
        <v>BENČ</v>
      </c>
      <c r="I24" s="254"/>
      <c r="J24" s="255">
        <f>IF(I24="a",E23,IF(I24="b",E25,""))</f>
      </c>
      <c r="K24" s="119"/>
      <c r="L24" s="77"/>
      <c r="M24" s="114"/>
      <c r="N24" s="77"/>
      <c r="O24" s="114"/>
      <c r="P24" s="77"/>
      <c r="Q24" s="79"/>
      <c r="R24" s="82"/>
      <c r="V24" s="97" t="str">
        <f>"/ "&amp;F$40&amp;" "&amp;UPPER(E$40)</f>
        <v>/ MARINO KEGL</v>
      </c>
    </row>
    <row r="25" spans="1:22" s="83" customFormat="1" ht="9" customHeight="1">
      <c r="A25" s="251"/>
      <c r="B25" s="90"/>
      <c r="C25" s="256"/>
      <c r="D25" s="90"/>
      <c r="E25" s="257"/>
      <c r="F25" s="257"/>
      <c r="G25" s="245"/>
      <c r="H25" s="257"/>
      <c r="I25" s="258"/>
      <c r="J25" s="259" t="str">
        <f>UPPER(IF(OR(I26="a",I26="as"),E23,IF(OR(I26="b",I26="bs"),E27,)))</f>
        <v>GORŠIČ</v>
      </c>
      <c r="K25" s="260"/>
      <c r="L25" s="77"/>
      <c r="M25" s="114"/>
      <c r="N25" s="77"/>
      <c r="O25" s="114"/>
      <c r="P25" s="77"/>
      <c r="Q25" s="79"/>
      <c r="R25" s="82"/>
      <c r="V25" s="97" t="str">
        <f>F$43&amp;" "&amp;UPPER(E$43)&amp;" /"</f>
        <v>ALEX BIČIČ /</v>
      </c>
    </row>
    <row r="26" spans="1:22" s="83" customFormat="1" ht="9" customHeight="1">
      <c r="A26" s="251"/>
      <c r="B26" s="90"/>
      <c r="C26" s="256"/>
      <c r="D26" s="90"/>
      <c r="E26" s="257"/>
      <c r="F26" s="257"/>
      <c r="G26" s="245"/>
      <c r="H26" s="93" t="s">
        <v>23</v>
      </c>
      <c r="I26" s="111" t="s">
        <v>24</v>
      </c>
      <c r="J26" s="261" t="str">
        <f>UPPER(IF(OR(I26="a",I26="as"),E24,IF(OR(I26="b",I26="bs"),E28,)))</f>
        <v>JANEŽIČ</v>
      </c>
      <c r="K26" s="262"/>
      <c r="L26" s="77"/>
      <c r="M26" s="114"/>
      <c r="N26" s="77"/>
      <c r="O26" s="114"/>
      <c r="P26" s="77"/>
      <c r="Q26" s="79"/>
      <c r="R26" s="82"/>
      <c r="V26" s="97" t="str">
        <f>"/ "&amp;F$44&amp;" "&amp;UPPER(E$44)</f>
        <v>/ PETER BREZOVEC</v>
      </c>
    </row>
    <row r="27" spans="1:22" s="83" customFormat="1" ht="9" customHeight="1">
      <c r="A27" s="251">
        <v>6</v>
      </c>
      <c r="B27" s="103">
        <f>IF($D27="","",VLOOKUP($D27,'[1]m dvojice žrebna lista '!$A$7:$BP$38,48))</f>
      </c>
      <c r="C27" s="263">
        <f>UPPER(IF($D27="","",VLOOKUP($D27,'[1]m dvojice žrebna lista '!$A$7:$BL$38,2)))</f>
      </c>
      <c r="D27" s="74"/>
      <c r="E27" s="104" t="s">
        <v>25</v>
      </c>
      <c r="F27" s="104">
        <f>IF($D27="","",VLOOKUP($D27,'[1]m dvojice žrebna lista '!$A$7:$BL$38,4))</f>
      </c>
      <c r="G27" s="250"/>
      <c r="H27" s="104">
        <f>IF($D27="","",VLOOKUP($D27,'[1]m dvojice žrebna lista '!$A$7:$BL$38,5))</f>
      </c>
      <c r="I27" s="105"/>
      <c r="J27" s="77"/>
      <c r="K27" s="114"/>
      <c r="L27" s="264"/>
      <c r="M27" s="107"/>
      <c r="N27" s="77"/>
      <c r="O27" s="114"/>
      <c r="P27" s="77"/>
      <c r="Q27" s="79"/>
      <c r="R27" s="82"/>
      <c r="V27" s="97" t="str">
        <f>F$47&amp;" "&amp;UPPER(E$47)&amp;" /"</f>
        <v> PROSTO /</v>
      </c>
    </row>
    <row r="28" spans="1:22" s="83" customFormat="1" ht="9" customHeight="1">
      <c r="A28" s="251"/>
      <c r="B28" s="265"/>
      <c r="C28" s="266">
        <f>UPPER(IF($D28="","",VLOOKUP($D28,'[1]m dvojice žrebna lista '!$A$7:$BL$38,18)))</f>
      </c>
      <c r="D28" s="110">
        <f>IF(D27="","",D27)</f>
      </c>
      <c r="E28" s="104">
        <f>UPPER(IF($D27="","",VLOOKUP($D27,'[1]m dvojice žrebna lista '!$A$7:$BL$38,19)))</f>
      </c>
      <c r="F28" s="104">
        <f>IF($D27="","",VLOOKUP($D27,'[1]m dvojice žrebna lista '!$A$7:$BL$38,20))</f>
      </c>
      <c r="G28" s="250"/>
      <c r="H28" s="104">
        <f>IF($D27="","",VLOOKUP($D27,'[1]m dvojice žrebna lista '!$A$7:$BL$38,21))</f>
      </c>
      <c r="I28" s="254"/>
      <c r="J28" s="77"/>
      <c r="K28" s="114"/>
      <c r="L28" s="267"/>
      <c r="M28" s="270"/>
      <c r="N28" s="77"/>
      <c r="O28" s="114"/>
      <c r="P28" s="77"/>
      <c r="Q28" s="79"/>
      <c r="R28" s="82"/>
      <c r="V28" s="97" t="str">
        <f>"/ "&amp;F$48&amp;" "&amp;UPPER(E$48)</f>
        <v>/  </v>
      </c>
    </row>
    <row r="29" spans="1:22" s="83" customFormat="1" ht="9" customHeight="1">
      <c r="A29" s="251"/>
      <c r="B29" s="90"/>
      <c r="C29" s="256"/>
      <c r="D29" s="109"/>
      <c r="E29" s="257"/>
      <c r="F29" s="257"/>
      <c r="G29" s="245"/>
      <c r="H29" s="257"/>
      <c r="I29" s="110"/>
      <c r="J29" s="77"/>
      <c r="K29" s="258"/>
      <c r="L29" s="259" t="str">
        <f>UPPER(IF(OR(K30="a",K30="as"),J25,IF(OR(K30="b",K30="bs"),J33,)))</f>
        <v>GORŠIČ</v>
      </c>
      <c r="M29" s="114"/>
      <c r="N29" s="77"/>
      <c r="O29" s="114"/>
      <c r="P29" s="77"/>
      <c r="Q29" s="79"/>
      <c r="R29" s="82"/>
      <c r="V29" s="97" t="str">
        <f>F$51&amp;" "&amp;UPPER(E$51)&amp;" /"</f>
        <v>GREGOR VOVK /</v>
      </c>
    </row>
    <row r="30" spans="1:22" s="83" customFormat="1" ht="9" customHeight="1">
      <c r="A30" s="251"/>
      <c r="B30" s="90"/>
      <c r="C30" s="256"/>
      <c r="D30" s="109"/>
      <c r="E30" s="257"/>
      <c r="F30" s="257"/>
      <c r="G30" s="245"/>
      <c r="H30" s="257"/>
      <c r="I30" s="110"/>
      <c r="J30" s="93" t="s">
        <v>23</v>
      </c>
      <c r="K30" s="111" t="s">
        <v>156</v>
      </c>
      <c r="L30" s="261" t="str">
        <f>UPPER(IF(OR(K30="a",K30="as"),J26,IF(OR(K30="b",K30="bs"),J34,)))</f>
        <v>JANEŽIČ</v>
      </c>
      <c r="M30" s="254"/>
      <c r="N30" s="77"/>
      <c r="O30" s="114"/>
      <c r="P30" s="77"/>
      <c r="Q30" s="79"/>
      <c r="R30" s="82"/>
      <c r="V30" s="97" t="str">
        <f>"/ "&amp;F$52&amp;" "&amp;UPPER(E$52)</f>
        <v>/ PRIMOŽ VOVK</v>
      </c>
    </row>
    <row r="31" spans="1:22" s="83" customFormat="1" ht="9" customHeight="1">
      <c r="A31" s="269">
        <v>7</v>
      </c>
      <c r="B31" s="103" t="str">
        <f>IF($D31="","",VLOOKUP($D31,'[1]m dvojice žrebna lista '!$A$7:$BP$38,48))</f>
        <v>D</v>
      </c>
      <c r="C31" s="263" t="str">
        <f>UPPER(IF($D31="","",VLOOKUP($D31,'[1]m dvojice žrebna lista '!$A$7:$BL$38,2)))</f>
        <v>6576</v>
      </c>
      <c r="D31" s="74">
        <v>9</v>
      </c>
      <c r="E31" s="104" t="str">
        <f>UPPER(IF($D31="","",VLOOKUP($D31,'[1]m dvojice žrebna lista '!$A$7:$BL$38,3)))</f>
        <v>DERNIČ</v>
      </c>
      <c r="F31" s="104" t="str">
        <f>IF($D31="","",VLOOKUP($D31,'[1]m dvojice žrebna lista '!$A$7:$BL$38,4))</f>
        <v>JAN</v>
      </c>
      <c r="G31" s="250"/>
      <c r="H31" s="104" t="str">
        <f>IF($D31="","",VLOOKUP($D31,'[1]m dvojice žrebna lista '!$A$7:$BL$38,5))</f>
        <v>PORTO</v>
      </c>
      <c r="I31" s="75"/>
      <c r="J31" s="77"/>
      <c r="K31" s="114"/>
      <c r="L31" s="77" t="s">
        <v>174</v>
      </c>
      <c r="M31" s="119"/>
      <c r="N31" s="264"/>
      <c r="O31" s="114"/>
      <c r="P31" s="77"/>
      <c r="Q31" s="79"/>
      <c r="R31" s="82"/>
      <c r="V31" s="97" t="str">
        <f>F$55&amp;" "&amp;UPPER(E$55)&amp;" /"</f>
        <v>JURE FRANK /</v>
      </c>
    </row>
    <row r="32" spans="1:22" s="83" customFormat="1" ht="9" customHeight="1">
      <c r="A32" s="251"/>
      <c r="B32" s="265"/>
      <c r="C32" s="266" t="str">
        <f>UPPER(IF($D32="","",VLOOKUP($D32,'[1]m dvojice žrebna lista '!$A$7:$BL$38,18)))</f>
        <v>5928</v>
      </c>
      <c r="D32" s="110">
        <f>IF(D31="","",D31)</f>
        <v>9</v>
      </c>
      <c r="E32" s="104" t="str">
        <f>UPPER(IF($D31="","",VLOOKUP($D31,'[1]m dvojice žrebna lista '!$A$7:$BL$38,19)))</f>
        <v>BREC</v>
      </c>
      <c r="F32" s="104" t="str">
        <f>IF($D31="","",VLOOKUP($D31,'[1]m dvojice žrebna lista '!$A$7:$BL$38,20))</f>
        <v>JAKOB</v>
      </c>
      <c r="G32" s="250"/>
      <c r="H32" s="104" t="str">
        <f>IF($D31="","",VLOOKUP($D31,'[1]m dvojice žrebna lista '!$A$7:$BL$38,21))</f>
        <v>TENAN</v>
      </c>
      <c r="I32" s="254"/>
      <c r="J32" s="255">
        <f>IF(I32="a",E31,IF(I32="b",E33,""))</f>
      </c>
      <c r="K32" s="114"/>
      <c r="L32" s="77"/>
      <c r="M32" s="119"/>
      <c r="N32" s="77"/>
      <c r="O32" s="114"/>
      <c r="P32" s="77"/>
      <c r="Q32" s="79"/>
      <c r="R32" s="82"/>
      <c r="V32" s="97" t="str">
        <f>"/ "&amp;F$56&amp;" "&amp;UPPER(E$56)</f>
        <v>/ NEJC LAVRENČIČ</v>
      </c>
    </row>
    <row r="33" spans="1:22" s="83" customFormat="1" ht="9" customHeight="1">
      <c r="A33" s="251"/>
      <c r="B33" s="90"/>
      <c r="C33" s="256"/>
      <c r="D33" s="109"/>
      <c r="E33" s="257"/>
      <c r="F33" s="257"/>
      <c r="G33" s="245"/>
      <c r="H33" s="257"/>
      <c r="I33" s="258"/>
      <c r="J33" s="259" t="str">
        <f>UPPER(IF(OR(I34="a",I34="as"),E31,IF(OR(I34="b",I34="bs"),E35,)))</f>
        <v>GAŠPERŠIČ</v>
      </c>
      <c r="K33" s="107"/>
      <c r="L33" s="77"/>
      <c r="M33" s="119"/>
      <c r="N33" s="77"/>
      <c r="O33" s="114"/>
      <c r="P33" s="77"/>
      <c r="Q33" s="79"/>
      <c r="R33" s="82"/>
      <c r="V33" s="97" t="str">
        <f>F$59&amp;" "&amp;UPPER(E$59)&amp;" /"</f>
        <v>ŽIGA DROBNIČ /</v>
      </c>
    </row>
    <row r="34" spans="1:22" s="83" customFormat="1" ht="9" customHeight="1">
      <c r="A34" s="251"/>
      <c r="B34" s="90"/>
      <c r="C34" s="256"/>
      <c r="D34" s="109"/>
      <c r="E34" s="257"/>
      <c r="F34" s="257"/>
      <c r="G34" s="245"/>
      <c r="H34" s="93" t="s">
        <v>23</v>
      </c>
      <c r="I34" s="111" t="s">
        <v>162</v>
      </c>
      <c r="J34" s="261" t="str">
        <f>UPPER(IF(OR(I34="a",I34="as"),E32,IF(OR(I34="b",I34="bs"),E36,)))</f>
        <v>GAŠPERŠIČ</v>
      </c>
      <c r="K34" s="254"/>
      <c r="L34" s="77"/>
      <c r="M34" s="119"/>
      <c r="N34" s="77"/>
      <c r="O34" s="114"/>
      <c r="P34" s="77"/>
      <c r="Q34" s="79"/>
      <c r="R34" s="82"/>
      <c r="V34" s="97" t="str">
        <f>"/ "&amp;F$60&amp;" "&amp;UPPER(E$60)</f>
        <v>/ ALJAŽ JAKOB KAPLJA</v>
      </c>
    </row>
    <row r="35" spans="1:22" s="83" customFormat="1" ht="9" customHeight="1">
      <c r="A35" s="251">
        <v>8</v>
      </c>
      <c r="B35" s="103" t="str">
        <f>IF($D35="","",VLOOKUP($D35,'[1]m dvojice žrebna lista '!$A$7:$BP$38,48))</f>
        <v>D</v>
      </c>
      <c r="C35" s="263" t="str">
        <f>UPPER(IF($D35="","",VLOOKUP($D35,'[1]m dvojice žrebna lista '!$A$7:$BL$38,2)))</f>
        <v>6166</v>
      </c>
      <c r="D35" s="74">
        <v>5</v>
      </c>
      <c r="E35" s="104" t="str">
        <f>UPPER(IF($D35="","",VLOOKUP($D35,'[1]m dvojice žrebna lista '!$A$7:$BL$38,3)))</f>
        <v>GAŠPERŠIČ</v>
      </c>
      <c r="F35" s="104" t="str">
        <f>IF($D35="","",VLOOKUP($D35,'[1]m dvojice žrebna lista '!$A$7:$BL$38,4))</f>
        <v>ŽIGA</v>
      </c>
      <c r="G35" s="250"/>
      <c r="H35" s="104" t="str">
        <f>IF($D35="","",VLOOKUP($D35,'[1]m dvojice žrebna lista '!$A$7:$BL$38,5))</f>
        <v>RADOV</v>
      </c>
      <c r="I35" s="105"/>
      <c r="J35" s="77" t="s">
        <v>168</v>
      </c>
      <c r="K35" s="119"/>
      <c r="L35" s="264"/>
      <c r="M35" s="260"/>
      <c r="N35" s="77"/>
      <c r="O35" s="114"/>
      <c r="P35" s="77"/>
      <c r="Q35" s="79"/>
      <c r="R35" s="82"/>
      <c r="V35" s="97" t="str">
        <f>F$63&amp;" "&amp;UPPER(E$63)&amp;" /"</f>
        <v> PROSTO /</v>
      </c>
    </row>
    <row r="36" spans="1:22" s="83" customFormat="1" ht="9" customHeight="1">
      <c r="A36" s="251"/>
      <c r="B36" s="265"/>
      <c r="C36" s="266" t="str">
        <f>UPPER(IF($D36="","",VLOOKUP($D36,'[1]m dvojice žrebna lista '!$A$7:$BL$38,18)))</f>
        <v>6165</v>
      </c>
      <c r="D36" s="110">
        <f>IF(D35="","",D35)</f>
        <v>5</v>
      </c>
      <c r="E36" s="104" t="str">
        <f>UPPER(IF($D35="","",VLOOKUP($D35,'[1]m dvojice žrebna lista '!$A$7:$BL$38,19)))</f>
        <v>GAŠPERŠIČ</v>
      </c>
      <c r="F36" s="104" t="str">
        <f>IF($D35="","",VLOOKUP($D35,'[1]m dvojice žrebna lista '!$A$7:$BL$38,20))</f>
        <v>GREGOR</v>
      </c>
      <c r="G36" s="250"/>
      <c r="H36" s="104" t="str">
        <f>IF($D35="","",VLOOKUP($D35,'[1]m dvojice žrebna lista '!$A$7:$BL$38,21))</f>
        <v>RADOV</v>
      </c>
      <c r="I36" s="254"/>
      <c r="J36" s="77"/>
      <c r="K36" s="119"/>
      <c r="L36" s="267"/>
      <c r="M36" s="268"/>
      <c r="N36" s="77"/>
      <c r="O36" s="114"/>
      <c r="P36" s="77"/>
      <c r="Q36" s="79"/>
      <c r="R36" s="82"/>
      <c r="V36" s="97" t="str">
        <f>"/ "&amp;F$64&amp;" "&amp;UPPER(E$64)</f>
        <v>/  </v>
      </c>
    </row>
    <row r="37" spans="1:22" s="83" customFormat="1" ht="9" customHeight="1">
      <c r="A37" s="251"/>
      <c r="B37" s="90"/>
      <c r="C37" s="256"/>
      <c r="D37" s="109"/>
      <c r="E37" s="257"/>
      <c r="F37" s="257"/>
      <c r="G37" s="245"/>
      <c r="H37" s="257"/>
      <c r="I37" s="110"/>
      <c r="J37" s="77"/>
      <c r="K37" s="119"/>
      <c r="L37" s="77"/>
      <c r="M37" s="119"/>
      <c r="N37" s="119"/>
      <c r="O37" s="258"/>
      <c r="P37" s="259" t="str">
        <f>UPPER(IF(OR(O38="a",O38="as"),N21,IF(OR(O38="b",O38="bs"),N53,)))</f>
        <v>GORŠIČ</v>
      </c>
      <c r="Q37" s="272"/>
      <c r="R37" s="82"/>
      <c r="V37" s="97" t="str">
        <f>F$67&amp;" "&amp;UPPER(E$67)&amp;" /"</f>
        <v>ALEŠ GERMIČ /</v>
      </c>
    </row>
    <row r="38" spans="1:22" s="83" customFormat="1" ht="9" customHeight="1" thickBot="1">
      <c r="A38" s="251"/>
      <c r="B38" s="90"/>
      <c r="C38" s="256"/>
      <c r="D38" s="109"/>
      <c r="E38" s="257"/>
      <c r="F38" s="257"/>
      <c r="G38" s="245"/>
      <c r="H38" s="257"/>
      <c r="I38" s="110"/>
      <c r="J38" s="77"/>
      <c r="K38" s="119"/>
      <c r="L38" s="77"/>
      <c r="M38" s="119"/>
      <c r="N38" s="93" t="s">
        <v>23</v>
      </c>
      <c r="O38" s="111" t="s">
        <v>156</v>
      </c>
      <c r="P38" s="261" t="str">
        <f>UPPER(IF(OR(O38="a",O38="as"),N22,IF(OR(O38="b",O38="bs"),N54,)))</f>
        <v>JANEŽIČ</v>
      </c>
      <c r="Q38" s="273"/>
      <c r="R38" s="82"/>
      <c r="V38" s="125" t="str">
        <f>"/ "&amp;F$68&amp;" "&amp;UPPER(E$68)</f>
        <v>/ ALJAŽ CAJZEK</v>
      </c>
    </row>
    <row r="39" spans="1:18" s="83" customFormat="1" ht="9" customHeight="1">
      <c r="A39" s="269">
        <v>9</v>
      </c>
      <c r="B39" s="103" t="str">
        <f>IF($D39="","",VLOOKUP($D39,'[1]m dvojice žrebna lista '!$A$7:$BP$38,48))</f>
        <v>D</v>
      </c>
      <c r="C39" s="263" t="str">
        <f>UPPER(IF($D39="","",VLOOKUP($D39,'[1]m dvojice žrebna lista '!$A$7:$BL$38,2)))</f>
        <v>5908</v>
      </c>
      <c r="D39" s="74">
        <v>6</v>
      </c>
      <c r="E39" s="104" t="str">
        <f>UPPER(IF($D39="","",VLOOKUP($D39,'[1]m dvojice žrebna lista '!$A$7:$BL$38,3)))</f>
        <v>FUGINA</v>
      </c>
      <c r="F39" s="104" t="str">
        <f>IF($D39="","",VLOOKUP($D39,'[1]m dvojice žrebna lista '!$A$7:$BL$38,4))</f>
        <v>VID</v>
      </c>
      <c r="G39" s="250"/>
      <c r="H39" s="104" t="str">
        <f>IF($D39="","",VLOOKUP($D39,'[1]m dvojice žrebna lista '!$A$7:$BL$38,5))</f>
        <v>TC-LJ</v>
      </c>
      <c r="I39" s="75"/>
      <c r="J39" s="77"/>
      <c r="K39" s="119"/>
      <c r="L39" s="274"/>
      <c r="M39" s="119"/>
      <c r="N39" s="77"/>
      <c r="O39" s="114"/>
      <c r="P39" s="264" t="s">
        <v>180</v>
      </c>
      <c r="Q39" s="79"/>
      <c r="R39" s="82"/>
    </row>
    <row r="40" spans="1:22" s="83" customFormat="1" ht="9" customHeight="1">
      <c r="A40" s="251"/>
      <c r="B40" s="265"/>
      <c r="C40" s="266" t="str">
        <f>UPPER(IF($D40="","",VLOOKUP($D40,'[1]m dvojice žrebna lista '!$A$7:$BL$38,18)))</f>
        <v>6368</v>
      </c>
      <c r="D40" s="110">
        <f>IF(D39="","",D39)</f>
        <v>6</v>
      </c>
      <c r="E40" s="104" t="str">
        <f>UPPER(IF($D39="","",VLOOKUP($D39,'[1]m dvojice žrebna lista '!$A$7:$BL$38,19)))</f>
        <v>KEGL</v>
      </c>
      <c r="F40" s="104" t="str">
        <f>IF($D39="","",VLOOKUP($D39,'[1]m dvojice žrebna lista '!$A$7:$BL$38,20))</f>
        <v>MARINO</v>
      </c>
      <c r="G40" s="250"/>
      <c r="H40" s="104" t="str">
        <f>IF($D39="","",VLOOKUP($D39,'[1]m dvojice žrebna lista '!$A$7:$BL$38,21))</f>
        <v>TENMS</v>
      </c>
      <c r="I40" s="254"/>
      <c r="J40" s="255">
        <f>IF(I40="a",E39,IF(I40="b",E41,""))</f>
      </c>
      <c r="K40" s="119"/>
      <c r="L40" s="77"/>
      <c r="M40" s="119"/>
      <c r="N40" s="77"/>
      <c r="O40" s="114"/>
      <c r="P40" s="267"/>
      <c r="Q40" s="275"/>
      <c r="R40" s="82"/>
      <c r="V40" s="245"/>
    </row>
    <row r="41" spans="1:22" s="83" customFormat="1" ht="9" customHeight="1">
      <c r="A41" s="251"/>
      <c r="B41" s="90"/>
      <c r="C41" s="256"/>
      <c r="D41" s="109"/>
      <c r="E41" s="257"/>
      <c r="F41" s="257"/>
      <c r="G41" s="245"/>
      <c r="H41" s="257"/>
      <c r="I41" s="258"/>
      <c r="J41" s="259" t="str">
        <f>UPPER(IF(OR(I42="a",I42="as"),E39,IF(OR(I42="b",I42="bs"),E43,)))</f>
        <v>FUGINA</v>
      </c>
      <c r="K41" s="260"/>
      <c r="L41" s="77"/>
      <c r="M41" s="119"/>
      <c r="N41" s="77"/>
      <c r="O41" s="114"/>
      <c r="P41" s="77"/>
      <c r="Q41" s="79"/>
      <c r="R41" s="82"/>
      <c r="V41" s="170"/>
    </row>
    <row r="42" spans="1:22" s="83" customFormat="1" ht="9" customHeight="1">
      <c r="A42" s="251"/>
      <c r="B42" s="90"/>
      <c r="C42" s="256"/>
      <c r="D42" s="276"/>
      <c r="E42" s="257"/>
      <c r="F42" s="257"/>
      <c r="G42" s="245"/>
      <c r="H42" s="93" t="s">
        <v>23</v>
      </c>
      <c r="I42" s="111" t="s">
        <v>27</v>
      </c>
      <c r="J42" s="261" t="str">
        <f>UPPER(IF(OR(I42="a",I42="as"),E40,IF(OR(I42="b",I42="bs"),E44,)))</f>
        <v>KEGL</v>
      </c>
      <c r="K42" s="262"/>
      <c r="L42" s="77"/>
      <c r="M42" s="119"/>
      <c r="N42" s="77"/>
      <c r="O42" s="114"/>
      <c r="P42" s="77"/>
      <c r="Q42" s="79"/>
      <c r="R42" s="82"/>
      <c r="V42" s="170"/>
    </row>
    <row r="43" spans="1:22" s="83" customFormat="1" ht="9" customHeight="1">
      <c r="A43" s="251">
        <v>10</v>
      </c>
      <c r="B43" s="103" t="str">
        <f>IF($D43="","",VLOOKUP($D43,'[1]m dvojice žrebna lista '!$A$7:$BP$38,48))</f>
        <v>D</v>
      </c>
      <c r="C43" s="263" t="str">
        <f>UPPER(IF($D43="","",VLOOKUP($D43,'[1]m dvojice žrebna lista '!$A$7:$BL$38,2)))</f>
        <v>6578</v>
      </c>
      <c r="D43" s="74">
        <v>11</v>
      </c>
      <c r="E43" s="104" t="str">
        <f>UPPER(IF($D43="","",VLOOKUP($D43,'[1]m dvojice žrebna lista '!$A$7:$BL$38,3)))</f>
        <v>BIČIČ</v>
      </c>
      <c r="F43" s="104" t="str">
        <f>IF($D43="","",VLOOKUP($D43,'[1]m dvojice žrebna lista '!$A$7:$BL$38,4))</f>
        <v>ALEX</v>
      </c>
      <c r="G43" s="250"/>
      <c r="H43" s="104" t="str">
        <f>IF($D43="","",VLOOKUP($D43,'[1]m dvojice žrebna lista '!$A$7:$BL$38,5))</f>
        <v>PORTO</v>
      </c>
      <c r="I43" s="105"/>
      <c r="J43" s="77" t="s">
        <v>165</v>
      </c>
      <c r="K43" s="114"/>
      <c r="L43" s="264"/>
      <c r="M43" s="260"/>
      <c r="N43" s="77"/>
      <c r="O43" s="114"/>
      <c r="P43" s="77"/>
      <c r="Q43" s="79"/>
      <c r="R43" s="82"/>
      <c r="V43" s="170"/>
    </row>
    <row r="44" spans="1:22" s="83" customFormat="1" ht="9" customHeight="1">
      <c r="A44" s="251"/>
      <c r="B44" s="265"/>
      <c r="C44" s="266" t="str">
        <f>UPPER(IF($D44="","",VLOOKUP($D44,'[1]m dvojice žrebna lista '!$A$7:$BL$38,18)))</f>
        <v>6467</v>
      </c>
      <c r="D44" s="110">
        <f>IF(D43="","",D43)</f>
        <v>11</v>
      </c>
      <c r="E44" s="104" t="str">
        <f>UPPER(IF($D43="","",VLOOKUP($D43,'[1]m dvojice žrebna lista '!$A$7:$BL$38,19)))</f>
        <v>BREZOVEC</v>
      </c>
      <c r="F44" s="104" t="str">
        <f>IF($D43="","",VLOOKUP($D43,'[1]m dvojice žrebna lista '!$A$7:$BL$38,20))</f>
        <v>PETER</v>
      </c>
      <c r="G44" s="250"/>
      <c r="H44" s="104" t="str">
        <f>IF($D43="","",VLOOKUP($D43,'[1]m dvojice žrebna lista '!$A$7:$BL$38,21))</f>
        <v>PORTO</v>
      </c>
      <c r="I44" s="254"/>
      <c r="J44" s="77"/>
      <c r="K44" s="114"/>
      <c r="L44" s="267"/>
      <c r="M44" s="268"/>
      <c r="N44" s="77"/>
      <c r="O44" s="114"/>
      <c r="P44" s="77"/>
      <c r="Q44" s="79"/>
      <c r="R44" s="82"/>
      <c r="V44" s="170"/>
    </row>
    <row r="45" spans="1:22" s="83" customFormat="1" ht="9" customHeight="1">
      <c r="A45" s="251"/>
      <c r="B45" s="90"/>
      <c r="C45" s="256"/>
      <c r="D45" s="109"/>
      <c r="E45" s="257"/>
      <c r="F45" s="257"/>
      <c r="G45" s="245"/>
      <c r="H45" s="257"/>
      <c r="I45" s="110"/>
      <c r="J45" s="77"/>
      <c r="K45" s="258"/>
      <c r="L45" s="259" t="str">
        <f>UPPER(IF(OR(K46="a",K46="as"),J41,IF(OR(K46="b",K46="bs"),J49,)))</f>
        <v>VOVK</v>
      </c>
      <c r="M45" s="119"/>
      <c r="N45" s="77"/>
      <c r="O45" s="114"/>
      <c r="P45" s="77"/>
      <c r="Q45" s="79"/>
      <c r="R45" s="82"/>
      <c r="V45" s="170"/>
    </row>
    <row r="46" spans="1:22" s="83" customFormat="1" ht="9" customHeight="1">
      <c r="A46" s="251"/>
      <c r="B46" s="90"/>
      <c r="C46" s="256"/>
      <c r="D46" s="109"/>
      <c r="E46" s="257"/>
      <c r="F46" s="257"/>
      <c r="G46" s="245"/>
      <c r="H46" s="257"/>
      <c r="I46" s="110"/>
      <c r="J46" s="93" t="s">
        <v>23</v>
      </c>
      <c r="K46" s="111" t="s">
        <v>154</v>
      </c>
      <c r="L46" s="261" t="str">
        <f>UPPER(IF(OR(K46="a",K46="as"),J42,IF(OR(K46="b",K46="bs"),J50,)))</f>
        <v>VOVK</v>
      </c>
      <c r="M46" s="262"/>
      <c r="N46" s="77"/>
      <c r="O46" s="114"/>
      <c r="P46" s="77"/>
      <c r="Q46" s="79"/>
      <c r="R46" s="82"/>
      <c r="V46" s="170"/>
    </row>
    <row r="47" spans="1:22" s="83" customFormat="1" ht="9" customHeight="1">
      <c r="A47" s="269">
        <v>11</v>
      </c>
      <c r="B47" s="103">
        <f>IF($D47="","",VLOOKUP($D47,'[1]m dvojice žrebna lista '!$A$7:$BP$38,48))</f>
      </c>
      <c r="C47" s="263">
        <f>UPPER(IF($D47="","",VLOOKUP($D47,'[1]m dvojice žrebna lista '!$A$7:$BL$38,2)))</f>
      </c>
      <c r="D47" s="74"/>
      <c r="E47" s="104" t="s">
        <v>25</v>
      </c>
      <c r="F47" s="104">
        <f>IF($D47="","",VLOOKUP($D47,'[1]m dvojice žrebna lista '!$A$7:$BL$38,4))</f>
      </c>
      <c r="G47" s="250"/>
      <c r="H47" s="104">
        <f>IF($D47="","",VLOOKUP($D47,'[1]m dvojice žrebna lista '!$A$7:$BL$38,5))</f>
      </c>
      <c r="I47" s="75"/>
      <c r="J47" s="77"/>
      <c r="K47" s="114"/>
      <c r="L47" s="77" t="s">
        <v>175</v>
      </c>
      <c r="M47" s="114"/>
      <c r="N47" s="264"/>
      <c r="O47" s="114"/>
      <c r="P47" s="77"/>
      <c r="Q47" s="79"/>
      <c r="R47" s="82"/>
      <c r="V47" s="170"/>
    </row>
    <row r="48" spans="1:22" s="83" customFormat="1" ht="9" customHeight="1">
      <c r="A48" s="251"/>
      <c r="B48" s="265"/>
      <c r="C48" s="266">
        <f>UPPER(IF($D48="","",VLOOKUP($D48,'[1]m dvojice žrebna lista '!$A$7:$BL$38,18)))</f>
      </c>
      <c r="D48" s="110">
        <f>IF(D47="","",D47)</f>
      </c>
      <c r="E48" s="104">
        <f>UPPER(IF($D47="","",VLOOKUP($D47,'[1]m dvojice žrebna lista '!$A$7:$BL$38,19)))</f>
      </c>
      <c r="F48" s="104">
        <f>IF($D47="","",VLOOKUP($D47,'[1]m dvojice žrebna lista '!$A$7:$BL$38,20))</f>
      </c>
      <c r="G48" s="250"/>
      <c r="H48" s="104">
        <f>IF($D47="","",VLOOKUP($D47,'[1]m dvojice žrebna lista '!$A$7:$BL$38,21))</f>
      </c>
      <c r="I48" s="254"/>
      <c r="J48" s="255">
        <f>IF(I48="a",E47,IF(I48="b",E49,""))</f>
      </c>
      <c r="K48" s="114"/>
      <c r="L48" s="77"/>
      <c r="M48" s="114"/>
      <c r="N48" s="77"/>
      <c r="O48" s="114"/>
      <c r="P48" s="77"/>
      <c r="Q48" s="79"/>
      <c r="R48" s="82"/>
      <c r="V48" s="170"/>
    </row>
    <row r="49" spans="1:22" s="83" customFormat="1" ht="9" customHeight="1">
      <c r="A49" s="251"/>
      <c r="B49" s="90"/>
      <c r="C49" s="256"/>
      <c r="D49" s="90"/>
      <c r="E49" s="257"/>
      <c r="F49" s="257"/>
      <c r="G49" s="245"/>
      <c r="H49" s="257"/>
      <c r="I49" s="258"/>
      <c r="J49" s="259" t="str">
        <f>UPPER(IF(OR(I50="a",I50="as"),E47,IF(OR(I50="b",I50="bs"),E51,)))</f>
        <v>VOVK</v>
      </c>
      <c r="K49" s="107"/>
      <c r="L49" s="77"/>
      <c r="M49" s="114"/>
      <c r="N49" s="77"/>
      <c r="O49" s="114"/>
      <c r="P49" s="77"/>
      <c r="Q49" s="79"/>
      <c r="R49" s="82"/>
      <c r="V49" s="170"/>
    </row>
    <row r="50" spans="1:22" s="83" customFormat="1" ht="9" customHeight="1">
      <c r="A50" s="251"/>
      <c r="B50" s="90"/>
      <c r="C50" s="256"/>
      <c r="D50" s="90"/>
      <c r="E50" s="257"/>
      <c r="F50" s="257"/>
      <c r="G50" s="245"/>
      <c r="H50" s="93" t="s">
        <v>23</v>
      </c>
      <c r="I50" s="111" t="s">
        <v>75</v>
      </c>
      <c r="J50" s="261" t="str">
        <f>UPPER(IF(OR(I50="a",I50="as"),E48,IF(OR(I50="b",I50="bs"),E52,)))</f>
        <v>VOVK</v>
      </c>
      <c r="K50" s="254"/>
      <c r="L50" s="77"/>
      <c r="M50" s="114"/>
      <c r="N50" s="77"/>
      <c r="O50" s="114"/>
      <c r="P50" s="77"/>
      <c r="Q50" s="79"/>
      <c r="R50" s="82"/>
      <c r="V50" s="277"/>
    </row>
    <row r="51" spans="1:22" s="83" customFormat="1" ht="9" customHeight="1">
      <c r="A51" s="278">
        <v>12</v>
      </c>
      <c r="B51" s="104" t="str">
        <f>IF($D51="","",VLOOKUP($D51,'[1]m dvojice žrebna lista '!$A$7:$BP$38,48))</f>
        <v>D</v>
      </c>
      <c r="C51" s="271" t="str">
        <f>UPPER(IF($D51="","",VLOOKUP($D51,'[1]m dvojice žrebna lista '!$A$7:$BL$38,2)))</f>
        <v>6592</v>
      </c>
      <c r="D51" s="74">
        <v>4</v>
      </c>
      <c r="E51" s="104" t="str">
        <f>UPPER(IF($D51="","",VLOOKUP($D51,'[1]m dvojice žrebna lista '!$A$7:$BL$38,3)))</f>
        <v>VOVK</v>
      </c>
      <c r="F51" s="104" t="str">
        <f>IF($D51="","",VLOOKUP($D51,'[1]m dvojice žrebna lista '!$A$7:$BL$38,4))</f>
        <v>GREGOR</v>
      </c>
      <c r="G51" s="250"/>
      <c r="H51" s="104" t="str">
        <f>IF($D51="","",VLOOKUP($D51,'[1]m dvojice žrebna lista '!$A$7:$BL$38,5))</f>
        <v>STRAŽ</v>
      </c>
      <c r="I51" s="105"/>
      <c r="J51" s="77"/>
      <c r="K51" s="119"/>
      <c r="L51" s="264"/>
      <c r="M51" s="107"/>
      <c r="N51" s="77"/>
      <c r="O51" s="114"/>
      <c r="P51" s="77"/>
      <c r="Q51" s="79"/>
      <c r="R51" s="82"/>
      <c r="V51" s="277"/>
    </row>
    <row r="52" spans="1:22" s="83" customFormat="1" ht="9" customHeight="1">
      <c r="A52" s="251"/>
      <c r="B52" s="265"/>
      <c r="C52" s="279" t="str">
        <f>UPPER(IF($D52="","",VLOOKUP($D52,'[1]m dvojice žrebna lista '!$A$7:$BL$38,18)))</f>
        <v>6591</v>
      </c>
      <c r="D52" s="110">
        <f>IF(D51="","",D51)</f>
        <v>4</v>
      </c>
      <c r="E52" s="104" t="str">
        <f>UPPER(IF($D51="","",VLOOKUP($D51,'[1]m dvojice žrebna lista '!$A$7:$BL$38,19)))</f>
        <v>VOVK</v>
      </c>
      <c r="F52" s="104" t="str">
        <f>IF($D51="","",VLOOKUP($D51,'[1]m dvojice žrebna lista '!$A$7:$BL$38,20))</f>
        <v>PRIMOŽ</v>
      </c>
      <c r="G52" s="250"/>
      <c r="H52" s="104" t="str">
        <f>IF($D51="","",VLOOKUP($D51,'[1]m dvojice žrebna lista '!$A$7:$BL$38,21))</f>
        <v>STRAŽ</v>
      </c>
      <c r="I52" s="254"/>
      <c r="J52" s="77"/>
      <c r="K52" s="119"/>
      <c r="L52" s="267"/>
      <c r="M52" s="270"/>
      <c r="N52" s="77"/>
      <c r="O52" s="114"/>
      <c r="P52" s="77"/>
      <c r="Q52" s="79"/>
      <c r="R52" s="82"/>
      <c r="V52" s="277"/>
    </row>
    <row r="53" spans="1:22" s="83" customFormat="1" ht="9" customHeight="1">
      <c r="A53" s="251"/>
      <c r="B53" s="90"/>
      <c r="C53" s="256"/>
      <c r="D53" s="90"/>
      <c r="E53" s="257"/>
      <c r="F53" s="257"/>
      <c r="G53" s="245"/>
      <c r="H53" s="257"/>
      <c r="I53" s="110"/>
      <c r="J53" s="77"/>
      <c r="K53" s="119"/>
      <c r="L53" s="77"/>
      <c r="M53" s="258"/>
      <c r="N53" s="259" t="str">
        <f>UPPER(IF(OR(M54="a",M54="as"),L45,IF(OR(M54="b",M54="bs"),L61,)))</f>
        <v>GERMIČ</v>
      </c>
      <c r="O53" s="114"/>
      <c r="P53" s="77"/>
      <c r="Q53" s="79"/>
      <c r="R53" s="82"/>
      <c r="V53" s="277"/>
    </row>
    <row r="54" spans="1:22" s="83" customFormat="1" ht="9" customHeight="1">
      <c r="A54" s="251"/>
      <c r="B54" s="90"/>
      <c r="C54" s="256"/>
      <c r="D54" s="90"/>
      <c r="E54" s="257"/>
      <c r="F54" s="257"/>
      <c r="G54" s="245"/>
      <c r="H54" s="257"/>
      <c r="I54" s="110"/>
      <c r="J54" s="77"/>
      <c r="K54" s="119"/>
      <c r="L54" s="93" t="s">
        <v>23</v>
      </c>
      <c r="M54" s="111" t="s">
        <v>75</v>
      </c>
      <c r="N54" s="261" t="str">
        <f>UPPER(IF(OR(M54="a",M54="as"),L46,IF(OR(M54="b",M54="bs"),L62,)))</f>
        <v>CAJZEK</v>
      </c>
      <c r="O54" s="254"/>
      <c r="P54" s="77"/>
      <c r="Q54" s="79"/>
      <c r="R54" s="82"/>
      <c r="V54" s="277"/>
    </row>
    <row r="55" spans="1:22" s="83" customFormat="1" ht="9" customHeight="1">
      <c r="A55" s="269">
        <v>13</v>
      </c>
      <c r="B55" s="103" t="str">
        <f>IF($D55="","",VLOOKUP($D55,'[1]m dvojice žrebna lista '!$A$7:$BP$38,48))</f>
        <v>D</v>
      </c>
      <c r="C55" s="263" t="str">
        <f>UPPER(IF($D55="","",VLOOKUP($D55,'[1]m dvojice žrebna lista '!$A$7:$BL$38,2)))</f>
        <v>6470</v>
      </c>
      <c r="D55" s="74">
        <v>7</v>
      </c>
      <c r="E55" s="104" t="str">
        <f>UPPER(IF($D55="","",VLOOKUP($D55,'[1]m dvojice žrebna lista '!$A$7:$BL$38,3)))</f>
        <v>FRANK</v>
      </c>
      <c r="F55" s="104" t="str">
        <f>IF($D55="","",VLOOKUP($D55,'[1]m dvojice žrebna lista '!$A$7:$BL$38,4))</f>
        <v>JURE</v>
      </c>
      <c r="G55" s="250"/>
      <c r="H55" s="104" t="str">
        <f>IF($D55="","",VLOOKUP($D55,'[1]m dvojice žrebna lista '!$A$7:$BL$38,5))</f>
        <v>ŽTKMB</v>
      </c>
      <c r="I55" s="75"/>
      <c r="J55" s="77"/>
      <c r="K55" s="119"/>
      <c r="L55" s="77"/>
      <c r="M55" s="114"/>
      <c r="N55" s="77" t="s">
        <v>105</v>
      </c>
      <c r="O55" s="119"/>
      <c r="P55" s="77"/>
      <c r="Q55" s="79"/>
      <c r="R55" s="82"/>
      <c r="V55" s="277"/>
    </row>
    <row r="56" spans="1:22" s="83" customFormat="1" ht="9" customHeight="1">
      <c r="A56" s="251"/>
      <c r="B56" s="265"/>
      <c r="C56" s="266" t="str">
        <f>UPPER(IF($D56="","",VLOOKUP($D56,'[1]m dvojice žrebna lista '!$A$7:$BL$38,18)))</f>
        <v>6917</v>
      </c>
      <c r="D56" s="110">
        <f>IF(D55="","",D55)</f>
        <v>7</v>
      </c>
      <c r="E56" s="104" t="str">
        <f>UPPER(IF($D55="","",VLOOKUP($D55,'[1]m dvojice žrebna lista '!$A$7:$BL$38,19)))</f>
        <v>LAVRENČIČ</v>
      </c>
      <c r="F56" s="104" t="str">
        <f>IF($D55="","",VLOOKUP($D55,'[1]m dvojice žrebna lista '!$A$7:$BL$38,20))</f>
        <v>NEJC</v>
      </c>
      <c r="G56" s="250"/>
      <c r="H56" s="104" t="str">
        <f>IF($D55="","",VLOOKUP($D55,'[1]m dvojice žrebna lista '!$A$7:$BL$38,21))</f>
        <v>N.GOR</v>
      </c>
      <c r="I56" s="254"/>
      <c r="J56" s="255">
        <f>IF(I56="a",E55,IF(I56="b",E57,""))</f>
      </c>
      <c r="K56" s="119"/>
      <c r="L56" s="77"/>
      <c r="M56" s="114"/>
      <c r="N56" s="77"/>
      <c r="O56" s="119"/>
      <c r="P56" s="77"/>
      <c r="Q56" s="79"/>
      <c r="R56" s="82"/>
      <c r="V56" s="277"/>
    </row>
    <row r="57" spans="1:22" s="83" customFormat="1" ht="9" customHeight="1">
      <c r="A57" s="251"/>
      <c r="B57" s="90"/>
      <c r="C57" s="256"/>
      <c r="D57" s="109"/>
      <c r="E57" s="257"/>
      <c r="F57" s="257"/>
      <c r="G57" s="245"/>
      <c r="H57" s="257"/>
      <c r="I57" s="258"/>
      <c r="J57" s="259" t="str">
        <f>UPPER(IF(OR(I58="a",I58="as"),E55,IF(OR(I58="b",I58="bs"),E59,)))</f>
        <v>FRANK</v>
      </c>
      <c r="K57" s="260"/>
      <c r="L57" s="77"/>
      <c r="M57" s="114"/>
      <c r="N57" s="77"/>
      <c r="O57" s="119"/>
      <c r="P57" s="77"/>
      <c r="Q57" s="79"/>
      <c r="R57" s="82"/>
      <c r="V57" s="277"/>
    </row>
    <row r="58" spans="1:22" s="83" customFormat="1" ht="9" customHeight="1">
      <c r="A58" s="251"/>
      <c r="B58" s="90"/>
      <c r="C58" s="256"/>
      <c r="D58" s="109"/>
      <c r="E58" s="257"/>
      <c r="F58" s="257"/>
      <c r="G58" s="245"/>
      <c r="H58" s="93" t="s">
        <v>23</v>
      </c>
      <c r="I58" s="111" t="s">
        <v>27</v>
      </c>
      <c r="J58" s="261" t="str">
        <f>UPPER(IF(OR(I58="a",I58="as"),E56,IF(OR(I58="b",I58="bs"),E60,)))</f>
        <v>LAVRENČIČ</v>
      </c>
      <c r="K58" s="262"/>
      <c r="L58" s="77"/>
      <c r="M58" s="114"/>
      <c r="N58" s="77"/>
      <c r="O58" s="119"/>
      <c r="P58" s="77"/>
      <c r="Q58" s="79"/>
      <c r="R58" s="82"/>
      <c r="V58" s="277"/>
    </row>
    <row r="59" spans="1:22" s="83" customFormat="1" ht="9" customHeight="1">
      <c r="A59" s="251">
        <v>14</v>
      </c>
      <c r="B59" s="103" t="str">
        <f>IF($D59="","",VLOOKUP($D59,'[1]m dvojice žrebna lista '!$A$7:$BP$38,48))</f>
        <v>D</v>
      </c>
      <c r="C59" s="263" t="str">
        <f>UPPER(IF($D59="","",VLOOKUP($D59,'[1]m dvojice žrebna lista '!$A$7:$BL$38,2)))</f>
        <v>6564</v>
      </c>
      <c r="D59" s="74">
        <v>12</v>
      </c>
      <c r="E59" s="104" t="str">
        <f>UPPER(IF($D59="","",VLOOKUP($D59,'[1]m dvojice žrebna lista '!$A$7:$BL$38,3)))</f>
        <v>DROBNIČ</v>
      </c>
      <c r="F59" s="104" t="str">
        <f>IF($D59="","",VLOOKUP($D59,'[1]m dvojice žrebna lista '!$A$7:$BL$38,4))</f>
        <v>ŽIGA</v>
      </c>
      <c r="G59" s="250"/>
      <c r="H59" s="104" t="str">
        <f>IF($D59="","",VLOOKUP($D59,'[1]m dvojice žrebna lista '!$A$7:$BL$38,5))</f>
        <v>ZKLUB</v>
      </c>
      <c r="I59" s="105"/>
      <c r="J59" s="77" t="s">
        <v>167</v>
      </c>
      <c r="K59" s="114"/>
      <c r="L59" s="264"/>
      <c r="M59" s="107"/>
      <c r="N59" s="77"/>
      <c r="O59" s="119"/>
      <c r="P59" s="77"/>
      <c r="Q59" s="79"/>
      <c r="R59" s="82"/>
      <c r="V59" s="277"/>
    </row>
    <row r="60" spans="1:22" s="83" customFormat="1" ht="9" customHeight="1">
      <c r="A60" s="251"/>
      <c r="B60" s="265"/>
      <c r="C60" s="266" t="str">
        <f>UPPER(IF($D60="","",VLOOKUP($D60,'[1]m dvojice žrebna lista '!$A$7:$BL$38,18)))</f>
        <v>6789</v>
      </c>
      <c r="D60" s="110">
        <f>IF(D59="","",D59)</f>
        <v>12</v>
      </c>
      <c r="E60" s="104" t="str">
        <f>UPPER(IF($D59="","",VLOOKUP($D59,'[1]m dvojice žrebna lista '!$A$7:$BL$38,19)))</f>
        <v>KAPLJA</v>
      </c>
      <c r="F60" s="104" t="str">
        <f>IF($D59="","",VLOOKUP($D59,'[1]m dvojice žrebna lista '!$A$7:$BL$38,20))</f>
        <v>ALJAŽ JAKOB</v>
      </c>
      <c r="G60" s="250"/>
      <c r="H60" s="104" t="str">
        <f>IF($D59="","",VLOOKUP($D59,'[1]m dvojice žrebna lista '!$A$7:$BL$38,21))</f>
        <v>RADOM</v>
      </c>
      <c r="I60" s="254"/>
      <c r="J60" s="77"/>
      <c r="K60" s="114"/>
      <c r="L60" s="267"/>
      <c r="M60" s="270"/>
      <c r="N60" s="77"/>
      <c r="O60" s="119"/>
      <c r="P60" s="77"/>
      <c r="Q60" s="79"/>
      <c r="R60" s="82"/>
      <c r="V60" s="277"/>
    </row>
    <row r="61" spans="1:22" s="83" customFormat="1" ht="9" customHeight="1">
      <c r="A61" s="251"/>
      <c r="B61" s="90"/>
      <c r="C61" s="256"/>
      <c r="D61" s="109"/>
      <c r="E61" s="257"/>
      <c r="F61" s="257"/>
      <c r="G61" s="245"/>
      <c r="H61" s="257"/>
      <c r="I61" s="110"/>
      <c r="J61" s="77"/>
      <c r="K61" s="258"/>
      <c r="L61" s="259" t="str">
        <f>UPPER(IF(OR(K62="a",K62="as"),J57,IF(OR(K62="b",K62="bs"),J65,)))</f>
        <v>GERMIČ</v>
      </c>
      <c r="M61" s="114"/>
      <c r="N61" s="77"/>
      <c r="O61" s="119"/>
      <c r="P61" s="77"/>
      <c r="Q61" s="79"/>
      <c r="R61" s="82"/>
      <c r="V61" s="277"/>
    </row>
    <row r="62" spans="1:22" s="83" customFormat="1" ht="9" customHeight="1">
      <c r="A62" s="251"/>
      <c r="B62" s="90"/>
      <c r="C62" s="256"/>
      <c r="D62" s="109"/>
      <c r="E62" s="257"/>
      <c r="F62" s="257"/>
      <c r="G62" s="245"/>
      <c r="H62" s="257"/>
      <c r="I62" s="110"/>
      <c r="J62" s="93" t="s">
        <v>23</v>
      </c>
      <c r="K62" s="111" t="s">
        <v>154</v>
      </c>
      <c r="L62" s="261" t="str">
        <f>UPPER(IF(OR(K62="a",K62="as"),J58,IF(OR(K62="b",K62="bs"),J66,)))</f>
        <v>CAJZEK</v>
      </c>
      <c r="M62" s="254"/>
      <c r="N62" s="77"/>
      <c r="O62" s="119"/>
      <c r="P62" s="77"/>
      <c r="Q62" s="79"/>
      <c r="R62" s="82"/>
      <c r="V62" s="277"/>
    </row>
    <row r="63" spans="1:22" s="83" customFormat="1" ht="9" customHeight="1">
      <c r="A63" s="269">
        <v>15</v>
      </c>
      <c r="B63" s="103">
        <f>IF($D63="","",VLOOKUP($D63,'[1]m dvojice žrebna lista '!$A$7:$BP$38,48))</f>
      </c>
      <c r="C63" s="263">
        <f>UPPER(IF($D63="","",VLOOKUP($D63,'[1]m dvojice žrebna lista '!$A$7:$BL$38,2)))</f>
      </c>
      <c r="D63" s="74"/>
      <c r="E63" s="104" t="s">
        <v>25</v>
      </c>
      <c r="F63" s="104">
        <f>IF($D63="","",VLOOKUP($D63,'[1]m dvojice žrebna lista '!$A$7:$BL$38,4))</f>
      </c>
      <c r="G63" s="250"/>
      <c r="H63" s="104">
        <f>IF($D63="","",VLOOKUP($D63,'[1]m dvojice žrebna lista '!$A$7:$BL$38,5))</f>
      </c>
      <c r="I63" s="75"/>
      <c r="J63" s="77"/>
      <c r="K63" s="114"/>
      <c r="L63" s="77" t="s">
        <v>173</v>
      </c>
      <c r="M63" s="119"/>
      <c r="N63" s="264"/>
      <c r="O63" s="119"/>
      <c r="P63" s="77"/>
      <c r="Q63" s="79"/>
      <c r="R63" s="82"/>
      <c r="V63" s="277"/>
    </row>
    <row r="64" spans="1:22" s="83" customFormat="1" ht="9" customHeight="1">
      <c r="A64" s="251"/>
      <c r="B64" s="265"/>
      <c r="C64" s="266">
        <f>UPPER(IF($D64="","",VLOOKUP($D64,'[1]m dvojice žrebna lista '!$A$7:$BL$38,18)))</f>
      </c>
      <c r="D64" s="110">
        <f>IF(D63="","",D63)</f>
      </c>
      <c r="E64" s="104">
        <f>UPPER(IF($D63="","",VLOOKUP($D63,'[1]m dvojice žrebna lista '!$A$7:$BL$38,19)))</f>
      </c>
      <c r="F64" s="104">
        <f>IF($D63="","",VLOOKUP($D63,'[1]m dvojice žrebna lista '!$A$7:$BL$38,20))</f>
      </c>
      <c r="G64" s="250"/>
      <c r="H64" s="104">
        <f>IF($D63="","",VLOOKUP($D63,'[1]m dvojice žrebna lista '!$A$7:$BL$38,21))</f>
      </c>
      <c r="I64" s="254"/>
      <c r="J64" s="255">
        <f>IF(I64="a",E63,IF(I64="b",E65,""))</f>
      </c>
      <c r="K64" s="114"/>
      <c r="L64" s="77"/>
      <c r="M64" s="119"/>
      <c r="N64" s="77"/>
      <c r="O64" s="119"/>
      <c r="P64" s="77"/>
      <c r="Q64" s="79"/>
      <c r="R64" s="82"/>
      <c r="V64" s="277"/>
    </row>
    <row r="65" spans="1:22" s="83" customFormat="1" ht="9" customHeight="1">
      <c r="A65" s="251"/>
      <c r="B65" s="90"/>
      <c r="C65" s="256"/>
      <c r="D65" s="90"/>
      <c r="E65" s="280"/>
      <c r="F65" s="280"/>
      <c r="G65" s="281"/>
      <c r="H65" s="280"/>
      <c r="I65" s="258"/>
      <c r="J65" s="259" t="str">
        <f>UPPER(IF(OR(I66="a",I66="as"),E63,IF(OR(I66="b",I66="bs"),E67,)))</f>
        <v>GERMIČ</v>
      </c>
      <c r="K65" s="107"/>
      <c r="L65" s="77"/>
      <c r="M65" s="119"/>
      <c r="N65" s="77"/>
      <c r="O65" s="119"/>
      <c r="P65" s="77"/>
      <c r="Q65" s="79"/>
      <c r="R65" s="82"/>
      <c r="V65" s="277"/>
    </row>
    <row r="66" spans="1:22" s="83" customFormat="1" ht="9" customHeight="1">
      <c r="A66" s="251"/>
      <c r="B66" s="90"/>
      <c r="C66" s="256"/>
      <c r="D66" s="90"/>
      <c r="E66" s="77"/>
      <c r="F66" s="77"/>
      <c r="G66" s="245"/>
      <c r="H66" s="93" t="s">
        <v>23</v>
      </c>
      <c r="I66" s="111" t="s">
        <v>75</v>
      </c>
      <c r="J66" s="261" t="str">
        <f>UPPER(IF(OR(I66="a",I66="as"),E64,IF(OR(I66="b",I66="bs"),E68,)))</f>
        <v>CAJZEK</v>
      </c>
      <c r="K66" s="254"/>
      <c r="L66" s="77"/>
      <c r="M66" s="119"/>
      <c r="N66" s="77"/>
      <c r="O66" s="119"/>
      <c r="P66" s="77"/>
      <c r="Q66" s="79"/>
      <c r="R66" s="82"/>
      <c r="V66" s="277"/>
    </row>
    <row r="67" spans="1:22" s="83" customFormat="1" ht="9" customHeight="1">
      <c r="A67" s="278">
        <v>16</v>
      </c>
      <c r="B67" s="104" t="str">
        <f>IF($D67="","",VLOOKUP($D67,'[1]m dvojice žrebna lista '!$A$7:$BP$38,48))</f>
        <v>D</v>
      </c>
      <c r="C67" s="104" t="str">
        <f>UPPER(IF($D67="","",VLOOKUP($D67,'[1]m dvojice žrebna lista '!$A$7:$BL$38,2)))</f>
        <v>6061</v>
      </c>
      <c r="D67" s="74">
        <v>2</v>
      </c>
      <c r="E67" s="104" t="str">
        <f>UPPER(IF($D67="","",VLOOKUP($D67,'[1]m dvojice žrebna lista '!$A$7:$BL$38,3)))</f>
        <v>GERMIČ</v>
      </c>
      <c r="F67" s="104" t="str">
        <f>IF($D67="","",VLOOKUP($D67,'[1]m dvojice žrebna lista '!$A$7:$BL$38,4))</f>
        <v>ALEŠ</v>
      </c>
      <c r="G67" s="250"/>
      <c r="H67" s="104" t="str">
        <f>IF($D67="","",VLOOKUP($D67,'[1]m dvojice žrebna lista '!$A$7:$BL$38,5))</f>
        <v>ŽTKMB</v>
      </c>
      <c r="I67" s="105"/>
      <c r="J67" s="77"/>
      <c r="K67" s="119"/>
      <c r="L67" s="264"/>
      <c r="M67" s="260"/>
      <c r="N67" s="77"/>
      <c r="O67" s="119"/>
      <c r="P67" s="77"/>
      <c r="Q67" s="79"/>
      <c r="R67" s="82"/>
      <c r="V67" s="277"/>
    </row>
    <row r="68" spans="1:22" s="83" customFormat="1" ht="9" customHeight="1">
      <c r="A68" s="251"/>
      <c r="B68" s="265"/>
      <c r="C68" s="274" t="str">
        <f>UPPER(IF($D68="","",VLOOKUP($D68,'[1]m dvojice žrebna lista '!$A$7:$BL$38,18)))</f>
        <v>6449</v>
      </c>
      <c r="D68" s="110">
        <f>IF(D67="","",D67)</f>
        <v>2</v>
      </c>
      <c r="E68" s="104" t="str">
        <f>UPPER(IF($D67="","",VLOOKUP($D67,'[1]m dvojice žrebna lista '!$A$7:$BL$38,19)))</f>
        <v>CAJZEK</v>
      </c>
      <c r="F68" s="104" t="str">
        <f>IF($D67="","",VLOOKUP($D67,'[1]m dvojice žrebna lista '!$A$7:$BL$38,20))</f>
        <v>ALJAŽ</v>
      </c>
      <c r="G68" s="250"/>
      <c r="H68" s="104" t="str">
        <f>IF($D67="","",VLOOKUP($D67,'[1]m dvojice žrebna lista '!$A$7:$BL$38,21))</f>
        <v>ROGAŠ</v>
      </c>
      <c r="I68" s="254"/>
      <c r="J68" s="77"/>
      <c r="K68" s="119"/>
      <c r="L68" s="267"/>
      <c r="M68" s="268"/>
      <c r="N68" s="77"/>
      <c r="O68" s="119"/>
      <c r="P68" s="77"/>
      <c r="Q68" s="79"/>
      <c r="R68" s="82"/>
      <c r="V68" s="277"/>
    </row>
    <row r="69" spans="1:22" s="83" customFormat="1" ht="9" customHeight="1">
      <c r="A69" s="282"/>
      <c r="B69" s="283"/>
      <c r="C69" s="283"/>
      <c r="D69" s="284"/>
      <c r="E69" s="285"/>
      <c r="F69" s="285"/>
      <c r="G69" s="63"/>
      <c r="H69" s="285"/>
      <c r="I69" s="286"/>
      <c r="J69" s="80"/>
      <c r="K69" s="81"/>
      <c r="L69" s="80"/>
      <c r="M69" s="81"/>
      <c r="N69" s="80"/>
      <c r="O69" s="81"/>
      <c r="P69" s="80"/>
      <c r="Q69" s="81"/>
      <c r="R69" s="82"/>
      <c r="V69" s="277"/>
    </row>
    <row r="70" spans="1:22" s="157" customFormat="1" ht="6" customHeight="1">
      <c r="A70" s="282"/>
      <c r="B70" s="283"/>
      <c r="C70" s="283"/>
      <c r="D70" s="284"/>
      <c r="E70" s="285"/>
      <c r="F70" s="285"/>
      <c r="G70" s="287"/>
      <c r="H70" s="285"/>
      <c r="I70" s="286"/>
      <c r="J70" s="80"/>
      <c r="K70" s="81"/>
      <c r="L70" s="154"/>
      <c r="M70" s="155"/>
      <c r="N70" s="154"/>
      <c r="O70" s="155"/>
      <c r="P70" s="154"/>
      <c r="Q70" s="155"/>
      <c r="R70" s="156"/>
      <c r="V70" s="288"/>
    </row>
    <row r="71" spans="1:22" s="170" customFormat="1" ht="10.5" customHeight="1">
      <c r="A71" s="158" t="s">
        <v>36</v>
      </c>
      <c r="B71" s="159"/>
      <c r="C71" s="160"/>
      <c r="D71" s="161" t="s">
        <v>37</v>
      </c>
      <c r="E71" s="162" t="s">
        <v>38</v>
      </c>
      <c r="F71" s="162"/>
      <c r="G71" s="162"/>
      <c r="H71" s="164" t="s">
        <v>76</v>
      </c>
      <c r="I71" s="161" t="s">
        <v>37</v>
      </c>
      <c r="J71" s="162" t="s">
        <v>77</v>
      </c>
      <c r="K71" s="289"/>
      <c r="L71" s="167" t="s">
        <v>42</v>
      </c>
      <c r="M71" s="168"/>
      <c r="N71" s="169" t="s">
        <v>43</v>
      </c>
      <c r="O71" s="169"/>
      <c r="P71" s="422" t="s">
        <v>78</v>
      </c>
      <c r="Q71" s="423"/>
      <c r="V71" s="277"/>
    </row>
    <row r="72" spans="1:22" s="170" customFormat="1" ht="9" customHeight="1">
      <c r="A72" s="172" t="s">
        <v>4</v>
      </c>
      <c r="B72" s="173"/>
      <c r="C72" s="174"/>
      <c r="D72" s="51">
        <v>1</v>
      </c>
      <c r="E72" s="175" t="str">
        <f>IF(C7&gt;0,IF(D7=1,E7,""))</f>
        <v>VOLK</v>
      </c>
      <c r="F72" s="173"/>
      <c r="G72" s="173"/>
      <c r="H72" s="290">
        <f>IF(E72="","",'[1]m dvojice žrebna lista '!AR8)</f>
        <v>18</v>
      </c>
      <c r="I72" s="291" t="s">
        <v>45</v>
      </c>
      <c r="J72" s="173"/>
      <c r="K72" s="54"/>
      <c r="L72" s="173"/>
      <c r="M72" s="179"/>
      <c r="N72" s="180" t="s">
        <v>79</v>
      </c>
      <c r="O72" s="181"/>
      <c r="P72" s="181"/>
      <c r="Q72" s="179"/>
      <c r="V72" s="277"/>
    </row>
    <row r="73" spans="1:22" s="170" customFormat="1" ht="9" customHeight="1">
      <c r="A73" s="424">
        <v>40695</v>
      </c>
      <c r="B73" s="425"/>
      <c r="C73" s="426"/>
      <c r="D73" s="51"/>
      <c r="E73" s="175" t="str">
        <f>IF(C7&gt;0,IF(D7=1,E8,""))</f>
        <v>OGOREVC</v>
      </c>
      <c r="F73" s="173"/>
      <c r="G73" s="173"/>
      <c r="H73" s="292"/>
      <c r="I73" s="291" t="s">
        <v>47</v>
      </c>
      <c r="J73" s="173"/>
      <c r="K73" s="54"/>
      <c r="L73" s="173"/>
      <c r="M73" s="179"/>
      <c r="N73" s="185" t="s">
        <v>48</v>
      </c>
      <c r="O73" s="184"/>
      <c r="P73" s="185"/>
      <c r="Q73" s="186"/>
      <c r="V73" s="277"/>
    </row>
    <row r="74" spans="1:22" s="170" customFormat="1" ht="9" customHeight="1">
      <c r="A74" s="187"/>
      <c r="B74" s="188"/>
      <c r="C74" s="189"/>
      <c r="D74" s="51">
        <v>2</v>
      </c>
      <c r="E74" s="175" t="str">
        <f>IF(C67&gt;0,IF(D67=2,E67,""))</f>
        <v>GERMIČ</v>
      </c>
      <c r="F74" s="173"/>
      <c r="G74" s="173"/>
      <c r="H74" s="174">
        <f>IF(E74="","",'[1]m dvojice žrebna lista '!AR9)</f>
        <v>20</v>
      </c>
      <c r="I74" s="291" t="s">
        <v>49</v>
      </c>
      <c r="J74" s="173"/>
      <c r="K74" s="54"/>
      <c r="L74" s="173"/>
      <c r="M74" s="179"/>
      <c r="N74" s="180" t="s">
        <v>50</v>
      </c>
      <c r="O74" s="181"/>
      <c r="P74" s="181"/>
      <c r="Q74" s="179"/>
      <c r="V74" s="277"/>
    </row>
    <row r="75" spans="1:22" s="170" customFormat="1" ht="9" customHeight="1">
      <c r="A75" s="190"/>
      <c r="B75" s="50"/>
      <c r="C75" s="174"/>
      <c r="D75" s="51"/>
      <c r="E75" s="175" t="str">
        <f>IF(C67&gt;0,IF(D67=2,E68,""))</f>
        <v>CAJZEK</v>
      </c>
      <c r="F75" s="173"/>
      <c r="G75" s="173"/>
      <c r="H75" s="292"/>
      <c r="I75" s="291" t="s">
        <v>51</v>
      </c>
      <c r="J75" s="173"/>
      <c r="K75" s="54"/>
      <c r="L75" s="173"/>
      <c r="M75" s="179"/>
      <c r="N75" s="173" t="s">
        <v>48</v>
      </c>
      <c r="O75" s="54"/>
      <c r="P75" s="173"/>
      <c r="Q75" s="179"/>
      <c r="V75" s="277"/>
    </row>
    <row r="76" spans="1:22" s="170" customFormat="1" ht="9" customHeight="1">
      <c r="A76" s="191"/>
      <c r="B76" s="192"/>
      <c r="C76" s="193"/>
      <c r="D76" s="51">
        <v>3</v>
      </c>
      <c r="E76" s="175" t="str">
        <f>IF(AND(C23&gt;0,D23=3),E23,IF(AND(C51&gt;0,D51=3),E51,""))</f>
        <v>GORŠIČ</v>
      </c>
      <c r="F76" s="173"/>
      <c r="G76" s="173"/>
      <c r="H76" s="290">
        <f>IF(E76="","",'[1]m dvojice žrebna lista '!AR10)</f>
        <v>28</v>
      </c>
      <c r="I76" s="291" t="s">
        <v>52</v>
      </c>
      <c r="J76" s="173"/>
      <c r="K76" s="54"/>
      <c r="L76" s="173"/>
      <c r="M76" s="179"/>
      <c r="N76" s="185"/>
      <c r="O76" s="184"/>
      <c r="P76" s="185"/>
      <c r="Q76" s="186"/>
      <c r="V76" s="277"/>
    </row>
    <row r="77" spans="1:22" s="170" customFormat="1" ht="9" customHeight="1">
      <c r="A77" s="172"/>
      <c r="B77" s="173"/>
      <c r="C77" s="174"/>
      <c r="D77" s="51"/>
      <c r="E77" s="175" t="str">
        <f>IF(AND(C23&gt;0,D23=3),E24,IF(AND(C51&gt;0,D51=3),E52,""))</f>
        <v>JANEŽIČ</v>
      </c>
      <c r="F77" s="173"/>
      <c r="G77" s="173"/>
      <c r="H77" s="292"/>
      <c r="I77" s="291" t="s">
        <v>54</v>
      </c>
      <c r="J77" s="173"/>
      <c r="K77" s="54"/>
      <c r="L77" s="173"/>
      <c r="M77" s="179"/>
      <c r="N77" s="293" t="s">
        <v>53</v>
      </c>
      <c r="O77" s="54"/>
      <c r="P77" s="173"/>
      <c r="Q77" s="179"/>
      <c r="V77" s="277"/>
    </row>
    <row r="78" spans="1:22" s="170" customFormat="1" ht="9" customHeight="1">
      <c r="A78" s="172"/>
      <c r="B78" s="173"/>
      <c r="C78" s="195"/>
      <c r="D78" s="51">
        <v>4</v>
      </c>
      <c r="E78" s="175" t="str">
        <f>IF(AND(C23&gt;0,D23=4),E23,IF(AND(C51&gt;0,D51=4),E51,""))</f>
        <v>VOVK</v>
      </c>
      <c r="F78" s="173"/>
      <c r="G78" s="173"/>
      <c r="H78" s="290">
        <f>IF(E78="","",'[1]m dvojice žrebna lista '!AR11)</f>
        <v>32</v>
      </c>
      <c r="I78" s="291" t="s">
        <v>55</v>
      </c>
      <c r="J78" s="173"/>
      <c r="K78" s="54"/>
      <c r="L78" s="173"/>
      <c r="M78" s="179"/>
      <c r="N78" s="173" t="s">
        <v>7</v>
      </c>
      <c r="O78" s="54"/>
      <c r="P78" s="417" t="str">
        <f>'[1]vnos podatkov'!$B$10</f>
        <v>Mladen Sredojevič</v>
      </c>
      <c r="Q78" s="418"/>
      <c r="V78" s="277"/>
    </row>
    <row r="79" spans="1:22" s="170" customFormat="1" ht="9" customHeight="1">
      <c r="A79" s="196"/>
      <c r="B79" s="185"/>
      <c r="C79" s="197"/>
      <c r="D79" s="198"/>
      <c r="E79" s="183" t="str">
        <f>IF(AND(C23&gt;0,D23=4),E24,IF(AND(C51&gt;0,D51=4),E52,""))</f>
        <v>VOVK</v>
      </c>
      <c r="F79" s="185"/>
      <c r="G79" s="185"/>
      <c r="H79" s="294"/>
      <c r="I79" s="295" t="s">
        <v>56</v>
      </c>
      <c r="J79" s="185"/>
      <c r="K79" s="184"/>
      <c r="L79" s="185"/>
      <c r="M79" s="186"/>
      <c r="N79" s="185" t="s">
        <v>58</v>
      </c>
      <c r="O79" s="184"/>
      <c r="P79" s="413" t="str">
        <f>'[1]vnos podatkov'!$E$10</f>
        <v>Anja Regent</v>
      </c>
      <c r="Q79" s="414" t="str">
        <f>'[1]vnos podatkov'!$E$10</f>
        <v>Anja Regent</v>
      </c>
      <c r="V79" s="277"/>
    </row>
    <row r="80" ht="15.75" customHeight="1"/>
    <row r="81" ht="9" customHeight="1"/>
  </sheetData>
  <sheetProtection/>
  <mergeCells count="7">
    <mergeCell ref="A73:C73"/>
    <mergeCell ref="P78:Q78"/>
    <mergeCell ref="P79:Q79"/>
    <mergeCell ref="P71:Q71"/>
    <mergeCell ref="F3:H3"/>
    <mergeCell ref="F4:H4"/>
    <mergeCell ref="O4:Q4"/>
  </mergeCells>
  <conditionalFormatting sqref="B55 B63 B11 B15 B19 B59 B27 B31 B35 B39 B43 B47">
    <cfRule type="cellIs" priority="1" dxfId="8" operator="equal" stopIfTrue="1">
      <formula>"DA"</formula>
    </cfRule>
  </conditionalFormatting>
  <conditionalFormatting sqref="B7 H7 F7 H51 F23 F67 F51 H67 H23 B51 B67 C67:C68 B23">
    <cfRule type="expression" priority="2" dxfId="10" stopIfTrue="1">
      <formula>AND($D7&lt;5,$C7&gt;0)</formula>
    </cfRule>
  </conditionalFormatting>
  <conditionalFormatting sqref="H52 H8 E68:F68 E24:F24 E52:F52 H24 E8:F8 H68">
    <cfRule type="expression" priority="3" dxfId="10" stopIfTrue="1">
      <formula>AND($D7&lt;5,$C7&gt;0)</formula>
    </cfRule>
  </conditionalFormatting>
  <conditionalFormatting sqref="E67 E23 E51">
    <cfRule type="cellIs" priority="4" dxfId="43" operator="equal" stopIfTrue="1">
      <formula>"Bye"</formula>
    </cfRule>
    <cfRule type="expression" priority="5" dxfId="10" stopIfTrue="1">
      <formula>AND($D23&lt;5,$C23&gt;0)</formula>
    </cfRule>
  </conditionalFormatting>
  <conditionalFormatting sqref="L13 L29 L45 L61 N21 N53 P37 J9 J17 J25 J33 J41 J49 J57 J65">
    <cfRule type="expression" priority="6" dxfId="10" stopIfTrue="1">
      <formula>I10="as"</formula>
    </cfRule>
    <cfRule type="expression" priority="7" dxfId="10" stopIfTrue="1">
      <formula>I10="bs"</formula>
    </cfRule>
  </conditionalFormatting>
  <conditionalFormatting sqref="L14 L30 L46 L62 J66 N54 N22 J10 J18 J26 J34 J42 J50 J58 P38">
    <cfRule type="expression" priority="8" dxfId="10" stopIfTrue="1">
      <formula>I10="as"</formula>
    </cfRule>
    <cfRule type="expression" priority="9" dxfId="10" stopIfTrue="1">
      <formula>I10="bs"</formula>
    </cfRule>
  </conditionalFormatting>
  <conditionalFormatting sqref="I10 I18 I26 I34 I42 I50 I58 I66 K62 K46 K30 K14 M22 M54 O38">
    <cfRule type="expression" priority="10" dxfId="7" stopIfTrue="1">
      <formula>$N$1="CU"</formula>
    </cfRule>
  </conditionalFormatting>
  <conditionalFormatting sqref="E7">
    <cfRule type="expression" priority="11" dxfId="10" stopIfTrue="1">
      <formula>AND($D7&lt;5,$C7&gt;0)</formula>
    </cfRule>
  </conditionalFormatting>
  <conditionalFormatting sqref="E11 E27 E47 E63">
    <cfRule type="cellIs" priority="12" dxfId="43" operator="equal" stopIfTrue="1">
      <formula>"Bye"</formula>
    </cfRule>
    <cfRule type="expression" priority="13" dxfId="43" stopIfTrue="1">
      <formula>AND($D11&lt;5,$C11&gt;0)</formula>
    </cfRule>
  </conditionalFormatting>
  <conditionalFormatting sqref="F11 H11 F15 H15:H16 H27:H28 H31:H32 H35:H36 H39:H40 H43:H44 H47:H48 H55:H56 H59:H60 H63:H64">
    <cfRule type="expression" priority="14" dxfId="43" stopIfTrue="1">
      <formula>AND($D11&lt;5,$C11&gt;0)</formula>
    </cfRule>
  </conditionalFormatting>
  <conditionalFormatting sqref="E12:F12 F40 F44 F48 L39 F56 F60 F64">
    <cfRule type="expression" priority="15" dxfId="43" stopIfTrue="1">
      <formula>AND($D11&lt;5,$C11&gt;0)</formula>
    </cfRule>
  </conditionalFormatting>
  <conditionalFormatting sqref="H12">
    <cfRule type="expression" priority="16" dxfId="43" stopIfTrue="1">
      <formula>AND($D12&lt;5,$C12&gt;0)</formula>
    </cfRule>
  </conditionalFormatting>
  <conditionalFormatting sqref="E15 E35:F36 H19:H20 E39:E40 E43:E44 E28 E55:E56 E59:E60 E48 F39 F43 F47 F55 F59 F63 F19 E31:F32 E19:E20 F27:F28 E64">
    <cfRule type="cellIs" priority="17" dxfId="43" operator="equal" stopIfTrue="1">
      <formula>"Bye"</formula>
    </cfRule>
    <cfRule type="expression" priority="18" dxfId="43" stopIfTrue="1">
      <formula>AND($D15&lt;5,$C15&gt;0)</formula>
    </cfRule>
  </conditionalFormatting>
  <conditionalFormatting sqref="E16:F16 F20">
    <cfRule type="expression" priority="19" dxfId="43" stopIfTrue="1">
      <formula>AND($D15&lt;5,$C15&gt;0)</formula>
    </cfRule>
  </conditionalFormatting>
  <conditionalFormatting sqref="H10 L22 H34 H18 H26 H42 H50 H58 H66 J46 J62 N38 L54 J30 J14">
    <cfRule type="expression" priority="20" dxfId="4" stopIfTrue="1">
      <formula>AND($N$1="CU",H10="Sodnik")</formula>
    </cfRule>
    <cfRule type="expression" priority="21" dxfId="3" stopIfTrue="1">
      <formula>AND($N$1="CU",H10&lt;&gt;"Umpire",I10&lt;&gt;"")</formula>
    </cfRule>
    <cfRule type="expression" priority="22" dxfId="2" stopIfTrue="1">
      <formula>AND($N$1="CU",H10&lt;&gt;"Umpire")</formula>
    </cfRule>
  </conditionalFormatting>
  <conditionalFormatting sqref="D8 D12 D16 D20 D24 D28 D32 D36 D40 D44 D48 D52 D56 D60 D64 D68">
    <cfRule type="expression" priority="23" dxfId="5" stopIfTrue="1">
      <formula>"IF(D7=D8)"</formula>
    </cfRule>
  </conditionalFormatting>
  <conditionalFormatting sqref="D42">
    <cfRule type="expression" priority="24" dxfId="1" stopIfTrue="1">
      <formula>AND($D42&gt;0,$D42&lt;5,$C42&gt;0)</formula>
    </cfRule>
    <cfRule type="expression" priority="25" dxfId="5" stopIfTrue="1">
      <formula>$D42&gt;0</formula>
    </cfRule>
    <cfRule type="expression" priority="26" dxfId="5" stopIfTrue="1">
      <formula>$E42="Bye"</formula>
    </cfRule>
  </conditionalFormatting>
  <conditionalFormatting sqref="C51 C23:C24 C7:C8">
    <cfRule type="expression" priority="27" dxfId="0" stopIfTrue="1">
      <formula>AND($D7&gt;0,$D7&lt;5,$C7&gt;0)</formula>
    </cfRule>
    <cfRule type="expression" priority="28" dxfId="30" stopIfTrue="1">
      <formula>$D7&gt;0</formula>
    </cfRule>
    <cfRule type="expression" priority="29" dxfId="33" stopIfTrue="1">
      <formula>$E7="Bye"</formula>
    </cfRule>
  </conditionalFormatting>
  <conditionalFormatting sqref="C52">
    <cfRule type="expression" priority="30" dxfId="0" stopIfTrue="1">
      <formula>AND($D52&gt;0,$D52&lt;5,$C52&gt;0)</formula>
    </cfRule>
    <cfRule type="expression" priority="31" dxfId="30" stopIfTrue="1">
      <formula>$D52&gt;0</formula>
    </cfRule>
    <cfRule type="expression" priority="32" dxfId="30" stopIfTrue="1">
      <formula>$E52="Bye"</formula>
    </cfRule>
  </conditionalFormatting>
  <conditionalFormatting sqref="D7 D67 D51 D23">
    <cfRule type="expression" priority="33" dxfId="29" stopIfTrue="1">
      <formula>$D7&gt;0</formula>
    </cfRule>
  </conditionalFormatting>
  <conditionalFormatting sqref="D11 D15 D19 D27 D31 D35 D39 D43 D47 D55 D59 D63">
    <cfRule type="expression" priority="34" dxfId="28" stopIfTrue="1">
      <formula>$D11&gt;0</formula>
    </cfRule>
  </conditionalFormatting>
  <dataValidations count="1">
    <dataValidation type="list" allowBlank="1" showInputMessage="1" sqref="H10 L22 H18 H26 H34 H42 H50 H58 H66 J62 J46 L54 N38 J30 J14">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V79"/>
  <sheetViews>
    <sheetView showGridLines="0" showZeros="0" zoomScalePageLayoutView="0" workbookViewId="0" topLeftCell="A1">
      <selection activeCell="U42" sqref="U42"/>
    </sheetView>
  </sheetViews>
  <sheetFormatPr defaultColWidth="9.140625" defaultRowHeight="12.75"/>
  <cols>
    <col min="1" max="1" width="3.421875" style="0" customWidth="1"/>
    <col min="2" max="2" width="4.5742187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204" customWidth="1"/>
    <col min="10" max="10" width="10.7109375" style="0" customWidth="1"/>
    <col min="11" max="11" width="1.7109375" style="204" customWidth="1"/>
    <col min="12" max="12" width="10.7109375" style="0" customWidth="1"/>
    <col min="13" max="13" width="1.7109375" style="203" customWidth="1"/>
    <col min="14" max="14" width="10.7109375" style="0" customWidth="1"/>
    <col min="15" max="15" width="1.7109375" style="204" customWidth="1"/>
    <col min="16" max="16" width="10.7109375" style="0" customWidth="1"/>
    <col min="17" max="17" width="1.7109375" style="203" customWidth="1"/>
    <col min="18" max="18" width="0" style="0" hidden="1" customWidth="1"/>
    <col min="19" max="19" width="8.28125" style="0" customWidth="1"/>
    <col min="20" max="20" width="6.140625" style="0" hidden="1" customWidth="1"/>
    <col min="21" max="21" width="8.421875" style="0" customWidth="1"/>
    <col min="22" max="22" width="7.421875" style="0" hidden="1" customWidth="1"/>
  </cols>
  <sheetData>
    <row r="1" spans="1:17" s="9" customFormat="1" ht="21.75" customHeight="1">
      <c r="A1" s="296" t="s">
        <v>169</v>
      </c>
      <c r="B1" s="222"/>
      <c r="I1" s="223"/>
      <c r="J1" s="224" t="s">
        <v>80</v>
      </c>
      <c r="K1" s="223"/>
      <c r="L1" s="225"/>
      <c r="M1" s="223"/>
      <c r="N1" s="223"/>
      <c r="O1" s="223"/>
      <c r="Q1" s="223"/>
    </row>
    <row r="2" spans="1:17" s="19" customFormat="1" ht="12.75">
      <c r="A2" s="13">
        <f>'[1]vnos podatkov'!$A$8</f>
        <v>16</v>
      </c>
      <c r="B2" s="14" t="str">
        <f>'[1]vnos podatkov'!$B$8</f>
        <v>mž</v>
      </c>
      <c r="C2" s="15" t="str">
        <f>'[1]vnos podatkov'!$C$8</f>
        <v>A turnir</v>
      </c>
      <c r="D2" s="226"/>
      <c r="F2" s="227"/>
      <c r="I2" s="203"/>
      <c r="J2" s="228" t="s">
        <v>70</v>
      </c>
      <c r="K2" s="225"/>
      <c r="L2" s="225"/>
      <c r="M2" s="203"/>
      <c r="O2" s="203"/>
      <c r="Q2" s="203"/>
    </row>
    <row r="3" spans="1:17" s="29" customFormat="1" ht="11.25" customHeight="1">
      <c r="A3" s="25" t="s">
        <v>3</v>
      </c>
      <c r="B3" s="229"/>
      <c r="C3" s="229"/>
      <c r="D3" s="25" t="s">
        <v>4</v>
      </c>
      <c r="E3" s="229"/>
      <c r="F3" s="25" t="s">
        <v>5</v>
      </c>
      <c r="G3" s="229"/>
      <c r="H3" s="229"/>
      <c r="I3" s="230"/>
      <c r="J3" s="25" t="s">
        <v>6</v>
      </c>
      <c r="K3" s="25"/>
      <c r="L3" s="231" t="s">
        <v>7</v>
      </c>
      <c r="M3" s="230"/>
      <c r="N3" s="26" t="s">
        <v>81</v>
      </c>
      <c r="O3" s="230"/>
      <c r="P3" s="229"/>
      <c r="Q3" s="232" t="s">
        <v>58</v>
      </c>
    </row>
    <row r="4" spans="1:17" s="45" customFormat="1" ht="11.25" customHeight="1" thickBot="1">
      <c r="A4" s="39" t="str">
        <f>'[1]vnos podatkov'!$D$8</f>
        <v>OP</v>
      </c>
      <c r="B4" s="233"/>
      <c r="C4" s="233"/>
      <c r="D4" s="233" t="str">
        <f>'[1]vnos podatkov'!$A$10</f>
        <v>20./22.7.2011</v>
      </c>
      <c r="E4" s="234"/>
      <c r="F4" s="432" t="str">
        <f>'[1]vnos podatkov'!$C$10</f>
        <v>TK Portorož</v>
      </c>
      <c r="G4" s="431"/>
      <c r="H4" s="431"/>
      <c r="I4" s="235"/>
      <c r="J4" s="41" t="s">
        <v>45</v>
      </c>
      <c r="K4" s="297"/>
      <c r="L4" s="237" t="str">
        <f>'[1]vnos podatkov'!$B$10</f>
        <v>Mladen Sredojevič</v>
      </c>
      <c r="M4" s="235"/>
      <c r="N4" s="298">
        <f>COUNTIF(D7:D69,"&gt;0")/2</f>
        <v>12</v>
      </c>
      <c r="O4" s="235"/>
      <c r="P4" s="234"/>
      <c r="Q4" s="238" t="str">
        <f>'[1]vnos podatkov'!$E$10</f>
        <v>Anja Regent</v>
      </c>
    </row>
    <row r="5" spans="1:17" s="29" customFormat="1" ht="9.75">
      <c r="A5" s="239"/>
      <c r="B5" s="176" t="s">
        <v>11</v>
      </c>
      <c r="C5" s="176" t="s">
        <v>82</v>
      </c>
      <c r="D5" s="176" t="s">
        <v>83</v>
      </c>
      <c r="E5" s="240" t="s">
        <v>14</v>
      </c>
      <c r="F5" s="240" t="s">
        <v>15</v>
      </c>
      <c r="G5" s="240"/>
      <c r="H5" s="240" t="s">
        <v>5</v>
      </c>
      <c r="I5" s="240"/>
      <c r="J5" s="176" t="s">
        <v>62</v>
      </c>
      <c r="K5" s="241"/>
      <c r="L5" s="176" t="s">
        <v>73</v>
      </c>
      <c r="M5" s="241"/>
      <c r="N5" s="176" t="s">
        <v>16</v>
      </c>
      <c r="O5" s="241"/>
      <c r="P5" s="176" t="s">
        <v>84</v>
      </c>
      <c r="Q5" s="242"/>
    </row>
    <row r="6" spans="1:17" s="29" customFormat="1" ht="3.75" customHeight="1" thickBot="1">
      <c r="A6" s="243"/>
      <c r="B6" s="37"/>
      <c r="C6" s="37"/>
      <c r="D6" s="37"/>
      <c r="E6" s="244"/>
      <c r="F6" s="244"/>
      <c r="G6" s="245"/>
      <c r="H6" s="244"/>
      <c r="I6" s="246"/>
      <c r="J6" s="37"/>
      <c r="K6" s="246"/>
      <c r="L6" s="37"/>
      <c r="M6" s="246"/>
      <c r="N6" s="37"/>
      <c r="O6" s="246"/>
      <c r="P6" s="37"/>
      <c r="Q6" s="247"/>
    </row>
    <row r="7" spans="1:22" s="83" customFormat="1" ht="10.5" customHeight="1">
      <c r="A7" s="248">
        <v>1</v>
      </c>
      <c r="B7" s="104" t="str">
        <f>IF($D7="","",VLOOKUP($D7,'[1]ž dvojice žrebna lista'!$A$7:$BO$38,48))</f>
        <v>D</v>
      </c>
      <c r="C7" s="271" t="str">
        <f>UPPER(IF($D7="","",VLOOKUP($D7,'[1]ž dvojice žrebna lista'!$A$7:$BK$38,2)))</f>
        <v>6593</v>
      </c>
      <c r="D7" s="74">
        <v>1</v>
      </c>
      <c r="E7" s="104" t="str">
        <f>UPPER(IF($D7="","",VLOOKUP($D7,'[1]ž dvojice žrebna lista'!$A$7:$AV$38,3)))</f>
        <v>VOVK</v>
      </c>
      <c r="F7" s="104" t="str">
        <f>IF($D7="","",VLOOKUP($D7,'[1]ž dvojice žrebna lista'!$A$7:$BK$38,4))</f>
        <v>LARA</v>
      </c>
      <c r="G7" s="250"/>
      <c r="H7" s="104" t="str">
        <f>IF($D7="","",VLOOKUP($D7,'[1]ž dvojice žrebna lista'!$A$7:$BK$38,5))</f>
        <v>STRAŽ</v>
      </c>
      <c r="I7" s="75"/>
      <c r="J7" s="77"/>
      <c r="K7" s="119"/>
      <c r="L7" s="77"/>
      <c r="M7" s="119"/>
      <c r="N7" s="77"/>
      <c r="O7" s="119"/>
      <c r="P7" s="77"/>
      <c r="Q7" s="79"/>
      <c r="R7" s="82"/>
      <c r="T7" s="84" t="str">
        <f>'[1]glavni sodniki'!P21</f>
        <v>Sodnik</v>
      </c>
      <c r="V7" s="84" t="str">
        <f>F$7&amp;" "&amp;UPPER(E$7)&amp;" /"</f>
        <v>LARA VOVK /</v>
      </c>
    </row>
    <row r="8" spans="1:22" s="83" customFormat="1" ht="9" customHeight="1">
      <c r="A8" s="251"/>
      <c r="B8" s="252"/>
      <c r="C8" s="177" t="str">
        <f>UPPER(IF($D7="","",VLOOKUP($D7,'[1]ž dvojice žrebna lista'!$A$7:$BK$38,18)))</f>
        <v>6238</v>
      </c>
      <c r="D8" s="110">
        <f>IF(D7="","",D7)</f>
        <v>1</v>
      </c>
      <c r="E8" s="104" t="str">
        <f>UPPER(IF($D7="","",VLOOKUP($D7,'[1]ž dvojice žrebna lista'!$A$7:$AV$38,19)))</f>
        <v>GLAVIČ</v>
      </c>
      <c r="F8" s="104" t="str">
        <f>UPPER(IF($D7="","",VLOOKUP($D7,'[1]ž dvojice žrebna lista'!$A$7:$AV$38,20)))</f>
        <v>LARA</v>
      </c>
      <c r="G8" s="250"/>
      <c r="H8" s="104" t="str">
        <f>UPPER(IF($D7="","",VLOOKUP($D7,'[1]ž dvojice žrebna lista'!$A$7:$AV$38,21)))</f>
        <v>TOPTE</v>
      </c>
      <c r="I8" s="254"/>
      <c r="J8" s="255">
        <f>IF(I8="a",E7,IF(I8="b",E9,""))</f>
      </c>
      <c r="K8" s="119"/>
      <c r="L8" s="77"/>
      <c r="M8" s="119"/>
      <c r="N8" s="77"/>
      <c r="O8" s="119"/>
      <c r="P8" s="77"/>
      <c r="Q8" s="79"/>
      <c r="R8" s="82"/>
      <c r="T8" s="97" t="str">
        <f>'[1]glavni sodniki'!P22</f>
        <v> </v>
      </c>
      <c r="V8" s="97" t="str">
        <f>"/ "&amp;F$8&amp;" "&amp;UPPER(E$8)</f>
        <v>/ LARA GLAVIČ</v>
      </c>
    </row>
    <row r="9" spans="1:22" s="83" customFormat="1" ht="9" customHeight="1">
      <c r="A9" s="251"/>
      <c r="B9" s="90"/>
      <c r="C9" s="256"/>
      <c r="D9" s="90"/>
      <c r="E9" s="257"/>
      <c r="F9" s="257"/>
      <c r="G9" s="245"/>
      <c r="H9" s="257"/>
      <c r="I9" s="258"/>
      <c r="J9" s="259" t="str">
        <f>UPPER(IF(OR(I10="a",I10="as"),E7,IF(OR(I10="b",I10="bs"),E11,)))</f>
        <v>VOVK</v>
      </c>
      <c r="K9" s="260"/>
      <c r="L9" s="77"/>
      <c r="M9" s="119"/>
      <c r="N9" s="77"/>
      <c r="O9" s="119"/>
      <c r="P9" s="77"/>
      <c r="Q9" s="79"/>
      <c r="R9" s="82"/>
      <c r="T9" s="97" t="str">
        <f>'[1]glavni sodniki'!P23</f>
        <v> </v>
      </c>
      <c r="V9" s="97" t="str">
        <f>F$11&amp;" "&amp;UPPER(E$11)&amp;" /"</f>
        <v> PROSTO /</v>
      </c>
    </row>
    <row r="10" spans="1:22" s="83" customFormat="1" ht="9" customHeight="1">
      <c r="A10" s="251"/>
      <c r="B10" s="90"/>
      <c r="C10" s="256"/>
      <c r="D10" s="90"/>
      <c r="E10" s="257"/>
      <c r="F10" s="257"/>
      <c r="G10" s="245"/>
      <c r="H10" s="93" t="s">
        <v>23</v>
      </c>
      <c r="I10" s="111" t="s">
        <v>24</v>
      </c>
      <c r="J10" s="261" t="str">
        <f>UPPER(IF(OR(I10="a",I10="as"),E8,IF(OR(I10="b",I10="bs"),E12,)))</f>
        <v>GLAVIČ</v>
      </c>
      <c r="K10" s="262"/>
      <c r="L10" s="77"/>
      <c r="M10" s="119"/>
      <c r="N10" s="77"/>
      <c r="O10" s="119"/>
      <c r="P10" s="77"/>
      <c r="Q10" s="79"/>
      <c r="R10" s="82"/>
      <c r="T10" s="97" t="str">
        <f>'[1]glavni sodniki'!P24</f>
        <v> </v>
      </c>
      <c r="V10" s="97" t="str">
        <f>"/ "&amp;F$12&amp;" "&amp;UPPER(E$12)</f>
        <v>/  </v>
      </c>
    </row>
    <row r="11" spans="1:22" s="83" customFormat="1" ht="9" customHeight="1">
      <c r="A11" s="251">
        <v>2</v>
      </c>
      <c r="B11" s="103">
        <f>IF($D11="","",VLOOKUP($D11,'[1]ž dvojice žrebna lista'!$A$7:$BO$38,48))</f>
      </c>
      <c r="C11" s="263">
        <f>UPPER(IF($D11="","",VLOOKUP($D11,'[1]ž dvojice žrebna lista'!$A$7:$BK$38,2)))</f>
      </c>
      <c r="D11" s="74"/>
      <c r="E11" s="104" t="s">
        <v>25</v>
      </c>
      <c r="F11" s="104">
        <f>IF($D11="","",VLOOKUP($D11,'[1]ž dvojice žrebna lista'!$A$7:$BK$38,4))</f>
      </c>
      <c r="G11" s="250"/>
      <c r="H11" s="104">
        <f>IF($D11="","",VLOOKUP($D11,'[1]ž dvojice žrebna lista'!$A$7:$BK$38,5))</f>
      </c>
      <c r="I11" s="105"/>
      <c r="J11" s="77"/>
      <c r="K11" s="114"/>
      <c r="L11" s="264"/>
      <c r="M11" s="260"/>
      <c r="N11" s="77"/>
      <c r="O11" s="119"/>
      <c r="P11" s="77"/>
      <c r="Q11" s="79"/>
      <c r="R11" s="82"/>
      <c r="T11" s="97" t="str">
        <f>'[1]glavni sodniki'!P25</f>
        <v> </v>
      </c>
      <c r="V11" s="97" t="str">
        <f>F$15&amp;" "&amp;UPPER(E$15)&amp;" /"</f>
        <v>ŽANA LAPAJNE /</v>
      </c>
    </row>
    <row r="12" spans="1:22" s="83" customFormat="1" ht="9" customHeight="1">
      <c r="A12" s="251"/>
      <c r="B12" s="265"/>
      <c r="C12" s="266">
        <f>UPPER(IF($D11="","",VLOOKUP($D11,'[1]ž dvojice žrebna lista'!$A$7:$BK$38,18)))</f>
      </c>
      <c r="D12" s="110">
        <f>IF(D11="","",D11)</f>
      </c>
      <c r="E12" s="104">
        <f>UPPER(IF($D11="","",VLOOKUP($D11,'[1]ž dvojice žrebna lista'!$A$7:$AV$38,19)))</f>
      </c>
      <c r="F12" s="104">
        <f>UPPER(IF($D11="","",VLOOKUP($D11,'[1]ž dvojice žrebna lista'!$A$7:$AV$38,20)))</f>
      </c>
      <c r="G12" s="250"/>
      <c r="H12" s="104">
        <f>UPPER(IF($D11="","",VLOOKUP($D11,'[1]ž dvojice žrebna lista'!$A$7:$AV$38,21)))</f>
      </c>
      <c r="I12" s="254"/>
      <c r="J12" s="77"/>
      <c r="K12" s="114"/>
      <c r="L12" s="267"/>
      <c r="M12" s="268"/>
      <c r="N12" s="77"/>
      <c r="O12" s="119"/>
      <c r="P12" s="77"/>
      <c r="Q12" s="79"/>
      <c r="R12" s="82"/>
      <c r="T12" s="97" t="str">
        <f>'[1]glavni sodniki'!P26</f>
        <v> </v>
      </c>
      <c r="V12" s="97" t="str">
        <f>"/ "&amp;F$16&amp;" "&amp;UPPER(E$16)</f>
        <v>/ VITA LUCIJA HAUPTMAN</v>
      </c>
    </row>
    <row r="13" spans="1:22" s="83" customFormat="1" ht="9" customHeight="1">
      <c r="A13" s="251"/>
      <c r="B13" s="90"/>
      <c r="C13" s="256"/>
      <c r="D13" s="109"/>
      <c r="E13" s="257"/>
      <c r="F13" s="257"/>
      <c r="G13" s="245"/>
      <c r="H13" s="257"/>
      <c r="I13" s="110"/>
      <c r="J13" s="77"/>
      <c r="K13" s="258"/>
      <c r="L13" s="259" t="str">
        <f>UPPER(IF(OR(K14="a",K14="as"),J9,IF(OR(K14="b",K14="bs"),J17,)))</f>
        <v>VOVK</v>
      </c>
      <c r="M13" s="119"/>
      <c r="N13" s="77"/>
      <c r="O13" s="119"/>
      <c r="P13" s="77"/>
      <c r="Q13" s="79"/>
      <c r="R13" s="82"/>
      <c r="T13" s="97" t="str">
        <f>'[1]glavni sodniki'!P27</f>
        <v> </v>
      </c>
      <c r="V13" s="97" t="str">
        <f>F$19&amp;" "&amp;UPPER(E$19)&amp;" /"</f>
        <v>KARIN KOŠNIK /</v>
      </c>
    </row>
    <row r="14" spans="1:22" s="83" customFormat="1" ht="9" customHeight="1">
      <c r="A14" s="251"/>
      <c r="B14" s="90"/>
      <c r="C14" s="256"/>
      <c r="D14" s="109"/>
      <c r="E14" s="257"/>
      <c r="F14" s="257"/>
      <c r="G14" s="245"/>
      <c r="H14" s="257"/>
      <c r="I14" s="110"/>
      <c r="J14" s="93" t="s">
        <v>23</v>
      </c>
      <c r="K14" s="111" t="s">
        <v>156</v>
      </c>
      <c r="L14" s="261" t="str">
        <f>UPPER(IF(OR(K14="a",K14="as"),J10,IF(OR(K14="b",K14="bs"),J18,)))</f>
        <v>GLAVIČ</v>
      </c>
      <c r="M14" s="262"/>
      <c r="N14" s="77"/>
      <c r="O14" s="119"/>
      <c r="P14" s="77"/>
      <c r="Q14" s="79"/>
      <c r="R14" s="82"/>
      <c r="T14" s="97" t="str">
        <f>'[1]glavni sodniki'!P28</f>
        <v> </v>
      </c>
      <c r="V14" s="97" t="str">
        <f>"/ "&amp;F$20&amp;" "&amp;UPPER(E$20)</f>
        <v>/ ŽANA TOMIČ EGART</v>
      </c>
    </row>
    <row r="15" spans="1:22" s="83" customFormat="1" ht="9" customHeight="1">
      <c r="A15" s="269">
        <v>3</v>
      </c>
      <c r="B15" s="103" t="str">
        <f>IF($D15="","",VLOOKUP($D15,'[1]ž dvojice žrebna lista'!$A$7:$BO$38,48))</f>
        <v>D</v>
      </c>
      <c r="C15" s="263" t="str">
        <f>UPPER(IF($D15="","",VLOOKUP($D15,'[1]ž dvojice žrebna lista'!$A$7:$BK$38,2)))</f>
        <v>6819</v>
      </c>
      <c r="D15" s="74">
        <v>8</v>
      </c>
      <c r="E15" s="104" t="str">
        <f>UPPER(IF($D15="","",VLOOKUP($D15,'[1]ž dvojice žrebna lista'!$A$7:$AV$38,3)))</f>
        <v>LAPAJNE</v>
      </c>
      <c r="F15" s="104" t="str">
        <f>IF($D15="","",VLOOKUP($D15,'[1]ž dvojice žrebna lista'!$A$7:$BK$38,4))</f>
        <v>ŽANA</v>
      </c>
      <c r="G15" s="250"/>
      <c r="H15" s="104" t="str">
        <f>IF($D15="","",VLOOKUP($D15,'[1]ž dvojice žrebna lista'!$A$7:$BK$38,5))</f>
        <v>IDRIJ</v>
      </c>
      <c r="I15" s="75"/>
      <c r="J15" s="77"/>
      <c r="K15" s="114"/>
      <c r="L15" s="77" t="s">
        <v>96</v>
      </c>
      <c r="M15" s="114"/>
      <c r="N15" s="264"/>
      <c r="O15" s="119"/>
      <c r="P15" s="77"/>
      <c r="Q15" s="79"/>
      <c r="R15" s="82"/>
      <c r="T15" s="97" t="str">
        <f>'[1]glavni sodniki'!P29</f>
        <v> </v>
      </c>
      <c r="V15" s="97" t="str">
        <f>F$23&amp;" "&amp;UPPER(E$23)&amp;" /"</f>
        <v>KLAVDIJA BUKOVEC /</v>
      </c>
    </row>
    <row r="16" spans="1:22" s="83" customFormat="1" ht="9" customHeight="1" thickBot="1">
      <c r="A16" s="251"/>
      <c r="B16" s="265"/>
      <c r="C16" s="266" t="str">
        <f>UPPER(IF($D15="","",VLOOKUP($D15,'[1]ž dvojice žrebna lista'!$A$7:$BK$38,18)))</f>
        <v>6475</v>
      </c>
      <c r="D16" s="110">
        <f>IF(D15="","",D15)</f>
        <v>8</v>
      </c>
      <c r="E16" s="104" t="str">
        <f>UPPER(IF($D15="","",VLOOKUP($D15,'[1]ž dvojice žrebna lista'!$A$7:$AV$38,19)))</f>
        <v>HAUPTMAN</v>
      </c>
      <c r="F16" s="104" t="str">
        <f>UPPER(IF($D15="","",VLOOKUP($D15,'[1]ž dvojice žrebna lista'!$A$7:$AV$38,20)))</f>
        <v>VITA LUCIJA</v>
      </c>
      <c r="G16" s="250"/>
      <c r="H16" s="104" t="str">
        <f>UPPER(IF($D15="","",VLOOKUP($D15,'[1]ž dvojice žrebna lista'!$A$7:$AV$38,21)))</f>
        <v>ŽTKMB</v>
      </c>
      <c r="I16" s="254"/>
      <c r="J16" s="255">
        <f>IF(I16="a",E15,IF(I16="b",E17,""))</f>
      </c>
      <c r="K16" s="114"/>
      <c r="L16" s="77"/>
      <c r="M16" s="114"/>
      <c r="N16" s="77"/>
      <c r="O16" s="119"/>
      <c r="P16" s="77"/>
      <c r="Q16" s="79"/>
      <c r="R16" s="82"/>
      <c r="T16" s="125" t="str">
        <f>'[1]glavni sodniki'!P30</f>
        <v>Brez sodnika</v>
      </c>
      <c r="V16" s="97" t="str">
        <f>"/ "&amp;F$24&amp;" "&amp;UPPER(E$24)</f>
        <v>/ SARA SIRŠE</v>
      </c>
    </row>
    <row r="17" spans="1:22" s="83" customFormat="1" ht="9" customHeight="1">
      <c r="A17" s="251"/>
      <c r="B17" s="90"/>
      <c r="C17" s="256"/>
      <c r="D17" s="109"/>
      <c r="E17" s="257"/>
      <c r="F17" s="257"/>
      <c r="G17" s="245"/>
      <c r="H17" s="257"/>
      <c r="I17" s="258"/>
      <c r="J17" s="259" t="str">
        <f>UPPER(IF(OR(I18="a",I18="as"),E15,IF(OR(I18="b",I18="bs"),E19,)))</f>
        <v>LAPAJNE</v>
      </c>
      <c r="K17" s="107"/>
      <c r="L17" s="77"/>
      <c r="M17" s="114"/>
      <c r="N17" s="77"/>
      <c r="O17" s="119"/>
      <c r="P17" s="77"/>
      <c r="Q17" s="79"/>
      <c r="R17" s="82"/>
      <c r="V17" s="97" t="str">
        <f>F$27&amp;" "&amp;UPPER(E$27)&amp;" /"</f>
        <v> PROSTO /</v>
      </c>
    </row>
    <row r="18" spans="1:22" s="83" customFormat="1" ht="9" customHeight="1">
      <c r="A18" s="251"/>
      <c r="B18" s="90"/>
      <c r="C18" s="256"/>
      <c r="D18" s="109"/>
      <c r="E18" s="257"/>
      <c r="F18" s="257"/>
      <c r="G18" s="245"/>
      <c r="H18" s="93" t="s">
        <v>23</v>
      </c>
      <c r="I18" s="111" t="s">
        <v>27</v>
      </c>
      <c r="J18" s="261" t="str">
        <f>UPPER(IF(OR(I18="a",I18="as"),E16,IF(OR(I18="b",I18="bs"),E20,)))</f>
        <v>HAUPTMAN</v>
      </c>
      <c r="K18" s="254"/>
      <c r="L18" s="77"/>
      <c r="M18" s="114"/>
      <c r="N18" s="77"/>
      <c r="O18" s="119"/>
      <c r="P18" s="77"/>
      <c r="Q18" s="79"/>
      <c r="R18" s="82"/>
      <c r="V18" s="97" t="str">
        <f>"/ "&amp;F$28&amp;" "&amp;UPPER(E$28)</f>
        <v>/  </v>
      </c>
    </row>
    <row r="19" spans="1:22" s="83" customFormat="1" ht="9" customHeight="1">
      <c r="A19" s="251">
        <v>4</v>
      </c>
      <c r="B19" s="103" t="str">
        <f>IF($D19="","",VLOOKUP($D19,'[1]ž dvojice žrebna lista'!$A$7:$BO$38,48))</f>
        <v>D</v>
      </c>
      <c r="C19" s="263" t="str">
        <f>UPPER(IF($D19="","",VLOOKUP($D19,'[1]ž dvojice žrebna lista'!$A$7:$BK$38,2)))</f>
        <v>6282</v>
      </c>
      <c r="D19" s="74">
        <v>9</v>
      </c>
      <c r="E19" s="104" t="str">
        <f>UPPER(IF($D19="","",VLOOKUP($D19,'[1]ž dvojice žrebna lista'!$A$7:$AV$38,3)))</f>
        <v>KOŠNIK</v>
      </c>
      <c r="F19" s="104" t="str">
        <f>IF($D19="","",VLOOKUP($D19,'[1]ž dvojice žrebna lista'!$A$7:$BK$38,4))</f>
        <v>KARIN</v>
      </c>
      <c r="G19" s="250"/>
      <c r="H19" s="104" t="str">
        <f>IF($D19="","",VLOOKUP($D19,'[1]ž dvojice žrebna lista'!$A$7:$BK$38,5))</f>
        <v>TR-KR</v>
      </c>
      <c r="I19" s="105"/>
      <c r="J19" s="77" t="s">
        <v>164</v>
      </c>
      <c r="K19" s="119"/>
      <c r="L19" s="264"/>
      <c r="M19" s="107"/>
      <c r="N19" s="77"/>
      <c r="O19" s="119"/>
      <c r="P19" s="77"/>
      <c r="Q19" s="79"/>
      <c r="R19" s="82"/>
      <c r="V19" s="97" t="str">
        <f>F$31&amp;" "&amp;UPPER(E$31)&amp;" /"</f>
        <v>KRISTINA TINA GODEC /</v>
      </c>
    </row>
    <row r="20" spans="1:22" s="83" customFormat="1" ht="9" customHeight="1">
      <c r="A20" s="251"/>
      <c r="B20" s="265"/>
      <c r="C20" s="266" t="str">
        <f>UPPER(IF($D19="","",VLOOKUP($D19,'[1]ž dvojice žrebna lista'!$A$7:$BK$38,18)))</f>
        <v>6527</v>
      </c>
      <c r="D20" s="110">
        <f>IF(D19="","",D19)</f>
        <v>9</v>
      </c>
      <c r="E20" s="104" t="str">
        <f>UPPER(IF($D19="","",VLOOKUP($D19,'[1]ž dvojice žrebna lista'!$A$7:$AV$38,19)))</f>
        <v>TOMIČ EGART</v>
      </c>
      <c r="F20" s="104" t="str">
        <f>UPPER(IF($D19="","",VLOOKUP($D19,'[1]ž dvojice žrebna lista'!$A$7:$AV$38,20)))</f>
        <v>ŽANA</v>
      </c>
      <c r="G20" s="250"/>
      <c r="H20" s="104" t="str">
        <f>UPPER(IF($D19="","",VLOOKUP($D19,'[1]ž dvojice žrebna lista'!$A$7:$AV$38,21)))</f>
        <v>TR-KR</v>
      </c>
      <c r="I20" s="254"/>
      <c r="J20" s="77"/>
      <c r="K20" s="119"/>
      <c r="L20" s="267"/>
      <c r="M20" s="270"/>
      <c r="N20" s="77"/>
      <c r="O20" s="119"/>
      <c r="P20" s="77"/>
      <c r="Q20" s="79"/>
      <c r="R20" s="82"/>
      <c r="V20" s="97" t="str">
        <f>"/ "&amp;F$32&amp;" "&amp;UPPER(E$32)</f>
        <v>/ ANA MERVIČ</v>
      </c>
    </row>
    <row r="21" spans="1:22" s="83" customFormat="1" ht="9" customHeight="1">
      <c r="A21" s="251"/>
      <c r="B21" s="90"/>
      <c r="C21" s="256"/>
      <c r="D21" s="90"/>
      <c r="E21" s="257"/>
      <c r="F21" s="257"/>
      <c r="G21" s="245"/>
      <c r="H21" s="257"/>
      <c r="I21" s="110"/>
      <c r="J21" s="77"/>
      <c r="K21" s="119"/>
      <c r="L21" s="77"/>
      <c r="M21" s="258"/>
      <c r="N21" s="259" t="str">
        <f>UPPER(IF(OR(M22="a",M22="as"),L13,IF(OR(M22="b",M22="bs"),L29,)))</f>
        <v>VOVK</v>
      </c>
      <c r="O21" s="119"/>
      <c r="P21" s="77"/>
      <c r="Q21" s="79"/>
      <c r="R21" s="82"/>
      <c r="V21" s="97" t="str">
        <f>F$35&amp;" "&amp;UPPER(E$35)&amp;" /"</f>
        <v>MOJCA MEJAK /</v>
      </c>
    </row>
    <row r="22" spans="1:22" s="83" customFormat="1" ht="9" customHeight="1">
      <c r="A22" s="251"/>
      <c r="B22" s="90"/>
      <c r="C22" s="256"/>
      <c r="D22" s="90"/>
      <c r="E22" s="257"/>
      <c r="F22" s="257"/>
      <c r="G22" s="245"/>
      <c r="H22" s="257"/>
      <c r="I22" s="110"/>
      <c r="J22" s="77"/>
      <c r="K22" s="119"/>
      <c r="L22" s="93" t="s">
        <v>23</v>
      </c>
      <c r="M22" s="111" t="s">
        <v>24</v>
      </c>
      <c r="N22" s="261" t="str">
        <f>UPPER(IF(OR(M22="a",M22="as"),L14,IF(OR(M22="b",M22="bs"),L30,)))</f>
        <v>GLAVIČ</v>
      </c>
      <c r="O22" s="262"/>
      <c r="P22" s="77"/>
      <c r="Q22" s="79"/>
      <c r="R22" s="82"/>
      <c r="V22" s="97" t="str">
        <f>"/ "&amp;F$36&amp;" "&amp;UPPER(E$36)</f>
        <v>/ LAURA SEFIČ</v>
      </c>
    </row>
    <row r="23" spans="1:22" s="83" customFormat="1" ht="9" customHeight="1">
      <c r="A23" s="248">
        <v>5</v>
      </c>
      <c r="B23" s="104" t="str">
        <f>IF($D23="","",VLOOKUP($D23,'[1]ž dvojice žrebna lista'!$A$7:$BO$38,48))</f>
        <v>D</v>
      </c>
      <c r="C23" s="299" t="str">
        <f>UPPER(IF($D23="","",VLOOKUP($D23,'[1]ž dvojice žrebna lista'!$A$7:$BK$38,2)))</f>
        <v>6528</v>
      </c>
      <c r="D23" s="74">
        <v>4</v>
      </c>
      <c r="E23" s="104" t="str">
        <f>UPPER(IF($D23="","",VLOOKUP($D23,'[1]ž dvojice žrebna lista'!$A$7:$AV$38,3)))</f>
        <v>BUKOVEC</v>
      </c>
      <c r="F23" s="104" t="str">
        <f>IF($D23="","",VLOOKUP($D23,'[1]ž dvojice žrebna lista'!$A$7:$BK$38,4))</f>
        <v>KLAVDIJA</v>
      </c>
      <c r="G23" s="250"/>
      <c r="H23" s="104" t="str">
        <f>IF($D23="","",VLOOKUP($D23,'[1]ž dvojice žrebna lista'!$A$7:$BK$38,5))</f>
        <v>TR-KR</v>
      </c>
      <c r="I23" s="75"/>
      <c r="J23" s="77"/>
      <c r="K23" s="119"/>
      <c r="L23" s="77"/>
      <c r="M23" s="114"/>
      <c r="N23" s="77" t="s">
        <v>95</v>
      </c>
      <c r="O23" s="114"/>
      <c r="P23" s="77"/>
      <c r="Q23" s="79"/>
      <c r="R23" s="82"/>
      <c r="V23" s="97" t="str">
        <f>F$39&amp;" "&amp;UPPER(E$39)&amp;" /"</f>
        <v>KRISTINA HRKAČ /</v>
      </c>
    </row>
    <row r="24" spans="1:22" s="83" customFormat="1" ht="9" customHeight="1">
      <c r="A24" s="251"/>
      <c r="B24" s="265"/>
      <c r="C24" s="300" t="str">
        <f>UPPER(IF($D24="","",VLOOKUP($D24,'[1]ž dvojice žrebna lista'!$A$7:$BK$38,18)))</f>
        <v>6498</v>
      </c>
      <c r="D24" s="110">
        <f>IF(D23="","",D23)</f>
        <v>4</v>
      </c>
      <c r="E24" s="104" t="str">
        <f>UPPER(IF($D24="","",VLOOKUP($D24,'[1]ž dvojice žrebna lista'!$A$7:$AV$38,19)))</f>
        <v>SIRŠE</v>
      </c>
      <c r="F24" s="104" t="str">
        <f>UPPER(IF($D24="","",VLOOKUP($D24,'[1]ž dvojice žrebna lista'!$A$7:$AV$38,20)))</f>
        <v>SARA</v>
      </c>
      <c r="G24" s="250"/>
      <c r="H24" s="104" t="str">
        <f>UPPER(IF($D24="","",VLOOKUP($D24,'[1]ž dvojice žrebna lista'!$A$7:$AV$38,21)))</f>
        <v>LTC</v>
      </c>
      <c r="I24" s="254"/>
      <c r="J24" s="255">
        <f>IF(I24="a",E23,IF(I24="b",E25,""))</f>
      </c>
      <c r="K24" s="119"/>
      <c r="L24" s="77"/>
      <c r="M24" s="114"/>
      <c r="N24" s="77"/>
      <c r="O24" s="114"/>
      <c r="P24" s="77"/>
      <c r="Q24" s="79"/>
      <c r="R24" s="82"/>
      <c r="V24" s="97" t="str">
        <f>"/ "&amp;F$40&amp;" "&amp;UPPER(E$40)</f>
        <v>/ EVGENIJA BURGER</v>
      </c>
    </row>
    <row r="25" spans="1:22" s="83" customFormat="1" ht="9" customHeight="1">
      <c r="A25" s="251"/>
      <c r="B25" s="90"/>
      <c r="C25" s="256"/>
      <c r="D25" s="90"/>
      <c r="E25" s="257"/>
      <c r="F25" s="257"/>
      <c r="G25" s="245"/>
      <c r="H25" s="257"/>
      <c r="I25" s="258"/>
      <c r="J25" s="259" t="str">
        <f>UPPER(IF(OR(I26="a",I26="as"),E23,IF(OR(I26="b",I26="bs"),E27,)))</f>
        <v>BUKOVEC</v>
      </c>
      <c r="K25" s="260"/>
      <c r="L25" s="77"/>
      <c r="M25" s="114"/>
      <c r="N25" s="77"/>
      <c r="O25" s="114"/>
      <c r="P25" s="77"/>
      <c r="Q25" s="79"/>
      <c r="R25" s="82"/>
      <c r="V25" s="97" t="str">
        <f>F$43&amp;" "&amp;UPPER(E$43)&amp;" /"</f>
        <v>BLAŽKA TRATNIK /</v>
      </c>
    </row>
    <row r="26" spans="1:22" s="83" customFormat="1" ht="9" customHeight="1">
      <c r="A26" s="251"/>
      <c r="B26" s="90"/>
      <c r="C26" s="256"/>
      <c r="D26" s="90"/>
      <c r="E26" s="257"/>
      <c r="F26" s="257"/>
      <c r="G26" s="245"/>
      <c r="H26" s="93" t="s">
        <v>23</v>
      </c>
      <c r="I26" s="111" t="s">
        <v>24</v>
      </c>
      <c r="J26" s="261" t="str">
        <f>UPPER(IF(OR(I26="a",I26="as"),E24,IF(OR(I26="b",I26="bs"),E28,)))</f>
        <v>SIRŠE</v>
      </c>
      <c r="K26" s="262"/>
      <c r="L26" s="77"/>
      <c r="M26" s="114"/>
      <c r="N26" s="77"/>
      <c r="O26" s="114"/>
      <c r="P26" s="77"/>
      <c r="Q26" s="79"/>
      <c r="R26" s="82"/>
      <c r="V26" s="97" t="str">
        <f>"/ "&amp;F$44&amp;" "&amp;UPPER(E$44)</f>
        <v>/ ANIKA MAKAROVIČ</v>
      </c>
    </row>
    <row r="27" spans="1:22" s="83" customFormat="1" ht="9" customHeight="1">
      <c r="A27" s="251">
        <v>6</v>
      </c>
      <c r="B27" s="103">
        <f>IF($D27="","",VLOOKUP($D27,'[1]ž dvojice žrebna lista'!$A$7:$BO$38,48))</f>
      </c>
      <c r="C27" s="263">
        <f>UPPER(IF($D27="","",VLOOKUP($D27,'[1]ž dvojice žrebna lista'!$A$7:$BK$38,2)))</f>
      </c>
      <c r="D27" s="74"/>
      <c r="E27" s="104" t="s">
        <v>25</v>
      </c>
      <c r="F27" s="104">
        <f>IF($D27="","",VLOOKUP($D27,'[1]ž dvojice žrebna lista'!$A$7:$BK$38,4))</f>
      </c>
      <c r="G27" s="250"/>
      <c r="H27" s="104">
        <f>IF($D27="","",VLOOKUP($D27,'[1]ž dvojice žrebna lista'!$A$7:$BK$38,5))</f>
      </c>
      <c r="I27" s="105"/>
      <c r="J27" s="77"/>
      <c r="K27" s="114"/>
      <c r="L27" s="264"/>
      <c r="M27" s="107"/>
      <c r="N27" s="77"/>
      <c r="O27" s="114"/>
      <c r="P27" s="77"/>
      <c r="Q27" s="79"/>
      <c r="R27" s="82"/>
      <c r="V27" s="97" t="str">
        <f>F$47&amp;" "&amp;UPPER(E$47)&amp;" /"</f>
        <v> PROSTO /</v>
      </c>
    </row>
    <row r="28" spans="1:22" s="83" customFormat="1" ht="9" customHeight="1">
      <c r="A28" s="251"/>
      <c r="B28" s="265"/>
      <c r="C28" s="266">
        <f>UPPER(IF($D28="","",VLOOKUP($D28,'[1]ž dvojice žrebna lista'!$A$7:$BK$38,18)))</f>
      </c>
      <c r="D28" s="110">
        <f>IF(D27="","",D27)</f>
      </c>
      <c r="E28" s="104">
        <f>UPPER(IF($D28="","",VLOOKUP($D28,'[1]ž dvojice žrebna lista'!$A$7:$AV$38,19)))</f>
      </c>
      <c r="F28" s="104">
        <f>UPPER(IF($D28="","",VLOOKUP($D28,'[1]ž dvojice žrebna lista'!$A$7:$AV$38,20)))</f>
      </c>
      <c r="G28" s="250"/>
      <c r="H28" s="104">
        <f>UPPER(IF($D28="","",VLOOKUP($D28,'[1]ž dvojice žrebna lista'!$A$7:$AV$38,21)))</f>
      </c>
      <c r="I28" s="254"/>
      <c r="J28" s="77"/>
      <c r="K28" s="114"/>
      <c r="L28" s="267"/>
      <c r="M28" s="270"/>
      <c r="N28" s="77"/>
      <c r="O28" s="114"/>
      <c r="P28" s="77"/>
      <c r="Q28" s="79"/>
      <c r="R28" s="82"/>
      <c r="V28" s="97" t="str">
        <f>"/ "&amp;F$48&amp;" "&amp;UPPER(E$48)</f>
        <v>/  </v>
      </c>
    </row>
    <row r="29" spans="1:22" s="83" customFormat="1" ht="9" customHeight="1">
      <c r="A29" s="251"/>
      <c r="B29" s="90"/>
      <c r="C29" s="256"/>
      <c r="D29" s="109"/>
      <c r="E29" s="257"/>
      <c r="F29" s="257"/>
      <c r="G29" s="245"/>
      <c r="H29" s="257"/>
      <c r="I29" s="110"/>
      <c r="J29" s="77"/>
      <c r="K29" s="258"/>
      <c r="L29" s="259" t="str">
        <f>UPPER(IF(OR(K30="a",K30="as"),J25,IF(OR(K30="b",K30="bs"),J33,)))</f>
        <v>BUKOVEC</v>
      </c>
      <c r="M29" s="114"/>
      <c r="N29" s="77"/>
      <c r="O29" s="114"/>
      <c r="P29" s="77"/>
      <c r="Q29" s="79"/>
      <c r="R29" s="82"/>
      <c r="V29" s="97" t="str">
        <f>F$51&amp;" "&amp;UPPER(E$51)&amp;" /"</f>
        <v>ANA OPARENOVIČ /</v>
      </c>
    </row>
    <row r="30" spans="1:22" s="83" customFormat="1" ht="9" customHeight="1">
      <c r="A30" s="251"/>
      <c r="B30" s="90"/>
      <c r="C30" s="256"/>
      <c r="D30" s="109"/>
      <c r="E30" s="257"/>
      <c r="F30" s="257"/>
      <c r="G30" s="245"/>
      <c r="H30" s="257"/>
      <c r="I30" s="110"/>
      <c r="J30" s="93" t="s">
        <v>23</v>
      </c>
      <c r="K30" s="111" t="s">
        <v>156</v>
      </c>
      <c r="L30" s="261" t="str">
        <f>UPPER(IF(OR(K30="a",K30="as"),J26,IF(OR(K30="b",K30="bs"),J34,)))</f>
        <v>SIRŠE</v>
      </c>
      <c r="M30" s="254"/>
      <c r="N30" s="77"/>
      <c r="O30" s="114"/>
      <c r="P30" s="77"/>
      <c r="Q30" s="79"/>
      <c r="R30" s="82"/>
      <c r="V30" s="97" t="str">
        <f>"/ "&amp;F$52&amp;" "&amp;UPPER(E$52)</f>
        <v>/ SIMONA REJC</v>
      </c>
    </row>
    <row r="31" spans="1:22" s="83" customFormat="1" ht="9" customHeight="1">
      <c r="A31" s="269">
        <v>7</v>
      </c>
      <c r="B31" s="103" t="str">
        <f>IF($D31="","",VLOOKUP($D31,'[1]ž dvojice žrebna lista'!$A$7:$BO$38,48))</f>
        <v>D</v>
      </c>
      <c r="C31" s="263" t="str">
        <f>UPPER(IF($D31="","",VLOOKUP($D31,'[1]ž dvojice žrebna lista'!$A$7:$BK$38,2)))</f>
        <v>7002</v>
      </c>
      <c r="D31" s="74">
        <v>5</v>
      </c>
      <c r="E31" s="104" t="str">
        <f>UPPER(IF($D31="","",VLOOKUP($D31,'[1]ž dvojice žrebna lista'!$A$7:$AV$38,3)))</f>
        <v>GODEC</v>
      </c>
      <c r="F31" s="104" t="str">
        <f>IF($D31="","",VLOOKUP($D31,'[1]ž dvojice žrebna lista'!$A$7:$BK$38,4))</f>
        <v>KRISTINA TINA</v>
      </c>
      <c r="G31" s="250"/>
      <c r="H31" s="104" t="str">
        <f>IF($D31="","",VLOOKUP($D31,'[1]ž dvojice žrebna lista'!$A$7:$BK$38,5))</f>
        <v>ASLIT</v>
      </c>
      <c r="I31" s="75"/>
      <c r="J31" s="77"/>
      <c r="K31" s="114"/>
      <c r="L31" s="77" t="s">
        <v>176</v>
      </c>
      <c r="M31" s="119"/>
      <c r="N31" s="264"/>
      <c r="O31" s="114"/>
      <c r="P31" s="77"/>
      <c r="Q31" s="79"/>
      <c r="R31" s="82"/>
      <c r="V31" s="97" t="str">
        <f>F$55&amp;" "&amp;UPPER(E$55)&amp;" /"</f>
        <v>SAŠA KLANEČEK /</v>
      </c>
    </row>
    <row r="32" spans="1:22" s="83" customFormat="1" ht="9" customHeight="1">
      <c r="A32" s="251"/>
      <c r="B32" s="265"/>
      <c r="C32" s="266" t="str">
        <f>UPPER(IF($D32="","",VLOOKUP($D32,'[1]ž dvojice žrebna lista'!$A$7:$BK$38,18)))</f>
        <v>7343</v>
      </c>
      <c r="D32" s="110">
        <f>IF(D31="","",D31)</f>
        <v>5</v>
      </c>
      <c r="E32" s="104" t="str">
        <f>UPPER(IF($D32="","",VLOOKUP($D32,'[1]ž dvojice žrebna lista'!$A$7:$AV$38,19)))</f>
        <v>MERVIČ</v>
      </c>
      <c r="F32" s="104" t="str">
        <f>UPPER(IF($D32="","",VLOOKUP($D32,'[1]ž dvojice žrebna lista'!$A$7:$AV$38,20)))</f>
        <v>ANA</v>
      </c>
      <c r="G32" s="250"/>
      <c r="H32" s="104" t="str">
        <f>UPPER(IF($D32="","",VLOOKUP($D32,'[1]ž dvojice žrebna lista'!$A$7:$AV$38,21)))</f>
        <v>N.GOR</v>
      </c>
      <c r="I32" s="254"/>
      <c r="J32" s="255">
        <f>IF(I32="a",E31,IF(I32="b",E33,""))</f>
      </c>
      <c r="K32" s="114"/>
      <c r="L32" s="77"/>
      <c r="M32" s="119"/>
      <c r="N32" s="77"/>
      <c r="O32" s="114"/>
      <c r="P32" s="77"/>
      <c r="Q32" s="79"/>
      <c r="R32" s="82"/>
      <c r="V32" s="97" t="str">
        <f>"/ "&amp;F$56&amp;" "&amp;UPPER(E$56)</f>
        <v>/ NINA KRIVEC</v>
      </c>
    </row>
    <row r="33" spans="1:22" s="83" customFormat="1" ht="9" customHeight="1">
      <c r="A33" s="251"/>
      <c r="B33" s="90"/>
      <c r="C33" s="256"/>
      <c r="D33" s="109"/>
      <c r="E33" s="257"/>
      <c r="F33" s="257"/>
      <c r="G33" s="245"/>
      <c r="H33" s="257"/>
      <c r="I33" s="258"/>
      <c r="J33" s="259" t="str">
        <f>UPPER(IF(OR(I34="a",I34="as"),E31,IF(OR(I34="b",I34="bs"),E35,)))</f>
        <v>MEJAK</v>
      </c>
      <c r="K33" s="107"/>
      <c r="L33" s="77"/>
      <c r="M33" s="119"/>
      <c r="N33" s="77"/>
      <c r="O33" s="114"/>
      <c r="P33" s="77"/>
      <c r="Q33" s="79"/>
      <c r="R33" s="82"/>
      <c r="V33" s="97" t="str">
        <f>F$59&amp;" "&amp;UPPER(E$59)&amp;" /"</f>
        <v>MAŠA MORI /</v>
      </c>
    </row>
    <row r="34" spans="1:22" s="83" customFormat="1" ht="9" customHeight="1">
      <c r="A34" s="251"/>
      <c r="B34" s="90"/>
      <c r="C34" s="256"/>
      <c r="D34" s="109"/>
      <c r="E34" s="257"/>
      <c r="F34" s="257"/>
      <c r="G34" s="245"/>
      <c r="H34" s="93" t="s">
        <v>23</v>
      </c>
      <c r="I34" s="111" t="s">
        <v>26</v>
      </c>
      <c r="J34" s="261" t="str">
        <f>UPPER(IF(OR(I34="a",I34="as"),E32,IF(OR(I34="b",I34="bs"),E36,)))</f>
        <v>SEFIČ</v>
      </c>
      <c r="K34" s="254"/>
      <c r="L34" s="77"/>
      <c r="M34" s="119"/>
      <c r="N34" s="77"/>
      <c r="O34" s="114"/>
      <c r="P34" s="77"/>
      <c r="Q34" s="79"/>
      <c r="R34" s="82"/>
      <c r="V34" s="97" t="str">
        <f>"/ "&amp;F$60&amp;" "&amp;UPPER(E$60)</f>
        <v>/ EVA FIŠER</v>
      </c>
    </row>
    <row r="35" spans="1:22" s="83" customFormat="1" ht="9" customHeight="1">
      <c r="A35" s="251">
        <v>8</v>
      </c>
      <c r="B35" s="103" t="str">
        <f>IF($D35="","",VLOOKUP($D35,'[1]ž dvojice žrebna lista'!$A$7:$BO$38,48))</f>
        <v>D</v>
      </c>
      <c r="C35" s="263" t="str">
        <f>UPPER(IF($D35="","",VLOOKUP($D35,'[1]ž dvojice žrebna lista'!$A$7:$BK$38,2)))</f>
        <v>6250</v>
      </c>
      <c r="D35" s="74">
        <v>12</v>
      </c>
      <c r="E35" s="104" t="str">
        <f>UPPER(IF($D35="","",VLOOKUP($D35,'[1]ž dvojice žrebna lista'!$A$7:$AV$38,3)))</f>
        <v>MEJAK</v>
      </c>
      <c r="F35" s="104" t="str">
        <f>IF($D35="","",VLOOKUP($D35,'[1]ž dvojice žrebna lista'!$A$7:$BK$38,4))</f>
        <v>MOJCA</v>
      </c>
      <c r="G35" s="250"/>
      <c r="H35" s="104" t="str">
        <f>IF($D35="","",VLOOKUP($D35,'[1]ž dvojice žrebna lista'!$A$7:$BK$38,5))</f>
        <v>KOPER</v>
      </c>
      <c r="I35" s="105"/>
      <c r="J35" s="77" t="s">
        <v>166</v>
      </c>
      <c r="K35" s="119"/>
      <c r="L35" s="264"/>
      <c r="M35" s="260"/>
      <c r="N35" s="77"/>
      <c r="O35" s="114"/>
      <c r="P35" s="77"/>
      <c r="Q35" s="79"/>
      <c r="R35" s="82"/>
      <c r="V35" s="97" t="str">
        <f>F$63&amp;" "&amp;UPPER(E$63)&amp;" /"</f>
        <v> PROSTO /</v>
      </c>
    </row>
    <row r="36" spans="1:22" s="83" customFormat="1" ht="9" customHeight="1">
      <c r="A36" s="251"/>
      <c r="B36" s="265"/>
      <c r="C36" s="266" t="str">
        <f>UPPER(IF($D36="","",VLOOKUP($D36,'[1]ž dvojice žrebna lista'!$A$7:$BK$38,18)))</f>
        <v>6681</v>
      </c>
      <c r="D36" s="110">
        <f>IF(D35="","",D35)</f>
        <v>12</v>
      </c>
      <c r="E36" s="104" t="str">
        <f>UPPER(IF($D36="","",VLOOKUP($D36,'[1]ž dvojice žrebna lista'!$A$7:$AV$38,19)))</f>
        <v>SEFIČ</v>
      </c>
      <c r="F36" s="104" t="str">
        <f>UPPER(IF($D36="","",VLOOKUP($D36,'[1]ž dvojice žrebna lista'!$A$7:$AV$38,20)))</f>
        <v>LAURA</v>
      </c>
      <c r="G36" s="250"/>
      <c r="H36" s="104" t="str">
        <f>UPPER(IF($D36="","",VLOOKUP($D36,'[1]ž dvojice žrebna lista'!$A$7:$AV$38,21)))</f>
        <v>RADOV</v>
      </c>
      <c r="I36" s="254"/>
      <c r="J36" s="77"/>
      <c r="K36" s="119"/>
      <c r="L36" s="267"/>
      <c r="M36" s="268"/>
      <c r="N36" s="77"/>
      <c r="O36" s="114"/>
      <c r="P36" s="77"/>
      <c r="Q36" s="79"/>
      <c r="R36" s="82"/>
      <c r="V36" s="97" t="str">
        <f>"/ "&amp;F$64&amp;" "&amp;UPPER(E$64)</f>
        <v>/  </v>
      </c>
    </row>
    <row r="37" spans="1:22" s="83" customFormat="1" ht="9" customHeight="1">
      <c r="A37" s="251"/>
      <c r="B37" s="90"/>
      <c r="C37" s="256"/>
      <c r="D37" s="109"/>
      <c r="E37" s="257"/>
      <c r="F37" s="257"/>
      <c r="G37" s="245"/>
      <c r="H37" s="257"/>
      <c r="I37" s="110"/>
      <c r="J37" s="77"/>
      <c r="K37" s="119"/>
      <c r="L37" s="77"/>
      <c r="M37" s="119"/>
      <c r="N37" s="119"/>
      <c r="O37" s="258"/>
      <c r="P37" s="259" t="str">
        <f>UPPER(IF(OR(O38="a",O38="as"),N21,IF(OR(O38="b",O38="bs"),N53,)))</f>
        <v>OPARENOVIČ</v>
      </c>
      <c r="Q37" s="272"/>
      <c r="R37" s="82"/>
      <c r="V37" s="97" t="str">
        <f>F$67&amp;" "&amp;UPPER(E$67)&amp;" /"</f>
        <v>KAJA EMERŠIČ LJUBIČ /</v>
      </c>
    </row>
    <row r="38" spans="1:22" s="83" customFormat="1" ht="9" customHeight="1" thickBot="1">
      <c r="A38" s="251"/>
      <c r="B38" s="90"/>
      <c r="C38" s="256"/>
      <c r="D38" s="109"/>
      <c r="E38" s="257"/>
      <c r="F38" s="257"/>
      <c r="G38" s="245"/>
      <c r="H38" s="257"/>
      <c r="I38" s="110"/>
      <c r="J38" s="77"/>
      <c r="K38" s="119"/>
      <c r="L38" s="77"/>
      <c r="M38" s="119"/>
      <c r="N38" s="93" t="s">
        <v>23</v>
      </c>
      <c r="O38" s="111" t="s">
        <v>154</v>
      </c>
      <c r="P38" s="261" t="str">
        <f>UPPER(IF(OR(O38="a",O38="as"),N22,IF(OR(O38="b",O38="bs"),N54,)))</f>
        <v>REJC</v>
      </c>
      <c r="Q38" s="273"/>
      <c r="R38" s="82"/>
      <c r="V38" s="125" t="str">
        <f>"/ "&amp;F$68&amp;" "&amp;UPPER(E$68)</f>
        <v>/ TJAŠA JERŠE</v>
      </c>
    </row>
    <row r="39" spans="1:18" s="83" customFormat="1" ht="9" customHeight="1">
      <c r="A39" s="269">
        <v>9</v>
      </c>
      <c r="B39" s="103" t="str">
        <f>IF($D39="","",VLOOKUP($D39,'[1]ž dvojice žrebna lista'!$A$7:$BO$38,48))</f>
        <v>D</v>
      </c>
      <c r="C39" s="263" t="str">
        <f>UPPER(IF($D39="","",VLOOKUP($D39,'[1]ž dvojice žrebna lista'!$A$7:$BK$38,2)))</f>
        <v>6278</v>
      </c>
      <c r="D39" s="74">
        <v>10</v>
      </c>
      <c r="E39" s="104" t="str">
        <f>UPPER(IF($D39="","",VLOOKUP($D39,'[1]ž dvojice žrebna lista'!$A$7:$AV$38,3)))</f>
        <v>HRKAČ</v>
      </c>
      <c r="F39" s="104" t="str">
        <f>IF($D39="","",VLOOKUP($D39,'[1]ž dvojice žrebna lista'!$A$7:$BK$38,4))</f>
        <v>KRISTINA</v>
      </c>
      <c r="G39" s="250"/>
      <c r="H39" s="104" t="str">
        <f>IF($D39="","",VLOOKUP($D39,'[1]ž dvojice žrebna lista'!$A$7:$BK$38,5))</f>
        <v>TR-KR</v>
      </c>
      <c r="I39" s="75"/>
      <c r="J39" s="77"/>
      <c r="K39" s="119"/>
      <c r="L39" s="274"/>
      <c r="M39" s="119"/>
      <c r="N39" s="77"/>
      <c r="O39" s="114"/>
      <c r="P39" s="264">
        <v>61063</v>
      </c>
      <c r="Q39" s="79"/>
      <c r="R39" s="82"/>
    </row>
    <row r="40" spans="1:22" s="83" customFormat="1" ht="9" customHeight="1">
      <c r="A40" s="251"/>
      <c r="B40" s="265"/>
      <c r="C40" s="266" t="str">
        <f>UPPER(IF($D40="","",VLOOKUP($D40,'[1]ž dvojice žrebna lista'!$A$7:$BK$38,18)))</f>
        <v>6854</v>
      </c>
      <c r="D40" s="110">
        <f>IF(D39="","",D39)</f>
        <v>10</v>
      </c>
      <c r="E40" s="104" t="str">
        <f>UPPER(IF($D40="","",VLOOKUP($D40,'[1]ž dvojice žrebna lista'!$A$7:$AV$38,19)))</f>
        <v>BURGER</v>
      </c>
      <c r="F40" s="104" t="str">
        <f>UPPER(IF($D40="","",VLOOKUP($D40,'[1]ž dvojice žrebna lista'!$A$7:$AV$38,20)))</f>
        <v>EVGENIJA</v>
      </c>
      <c r="G40" s="250"/>
      <c r="H40" s="104" t="str">
        <f>UPPER(IF($D40="","",VLOOKUP($D40,'[1]ž dvojice žrebna lista'!$A$7:$AV$38,21)))</f>
        <v>OTOČE</v>
      </c>
      <c r="I40" s="254"/>
      <c r="J40" s="255">
        <f>IF(I40="a",E39,IF(I40="b",E41,""))</f>
      </c>
      <c r="K40" s="119"/>
      <c r="L40" s="77"/>
      <c r="M40" s="119"/>
      <c r="N40" s="77"/>
      <c r="O40" s="114"/>
      <c r="P40" s="267"/>
      <c r="Q40" s="275"/>
      <c r="R40" s="82"/>
      <c r="V40" s="245"/>
    </row>
    <row r="41" spans="1:22" s="83" customFormat="1" ht="9" customHeight="1">
      <c r="A41" s="251"/>
      <c r="B41" s="90"/>
      <c r="C41" s="256"/>
      <c r="D41" s="109"/>
      <c r="E41" s="257"/>
      <c r="F41" s="257"/>
      <c r="G41" s="245"/>
      <c r="H41" s="257"/>
      <c r="I41" s="258"/>
      <c r="J41" s="259" t="str">
        <f>UPPER(IF(OR(I42="a",I42="as"),E39,IF(OR(I42="b",I42="bs"),E43,)))</f>
        <v>HRKAČ</v>
      </c>
      <c r="K41" s="260"/>
      <c r="L41" s="77"/>
      <c r="M41" s="119"/>
      <c r="N41" s="77"/>
      <c r="O41" s="114"/>
      <c r="P41" s="77"/>
      <c r="Q41" s="79"/>
      <c r="R41" s="82"/>
      <c r="V41" s="170"/>
    </row>
    <row r="42" spans="1:22" s="83" customFormat="1" ht="9" customHeight="1">
      <c r="A42" s="251"/>
      <c r="B42" s="90"/>
      <c r="C42" s="256"/>
      <c r="D42" s="276"/>
      <c r="E42" s="257"/>
      <c r="F42" s="257"/>
      <c r="G42" s="245"/>
      <c r="H42" s="93" t="s">
        <v>23</v>
      </c>
      <c r="I42" s="111" t="s">
        <v>27</v>
      </c>
      <c r="J42" s="261" t="str">
        <f>UPPER(IF(OR(I42="a",I42="as"),E40,IF(OR(I42="b",I42="bs"),E44,)))</f>
        <v>BURGER</v>
      </c>
      <c r="K42" s="262"/>
      <c r="L42" s="77"/>
      <c r="M42" s="119"/>
      <c r="N42" s="77"/>
      <c r="O42" s="114"/>
      <c r="P42" s="77"/>
      <c r="Q42" s="79"/>
      <c r="R42" s="82"/>
      <c r="V42" s="170"/>
    </row>
    <row r="43" spans="1:22" s="83" customFormat="1" ht="9" customHeight="1">
      <c r="A43" s="251">
        <v>10</v>
      </c>
      <c r="B43" s="103" t="str">
        <f>IF($D43="","",VLOOKUP($D43,'[1]ž dvojice žrebna lista'!$A$7:$BO$38,48))</f>
        <v>D</v>
      </c>
      <c r="C43" s="263" t="str">
        <f>UPPER(IF($D43="","",VLOOKUP($D43,'[1]ž dvojice žrebna lista'!$A$7:$BK$38,2)))</f>
        <v>6626</v>
      </c>
      <c r="D43" s="74">
        <v>6</v>
      </c>
      <c r="E43" s="104" t="str">
        <f>UPPER(IF($D43="","",VLOOKUP($D43,'[1]ž dvojice žrebna lista'!$A$7:$AV$38,3)))</f>
        <v>TRATNIK</v>
      </c>
      <c r="F43" s="104" t="str">
        <f>IF($D43="","",VLOOKUP($D43,'[1]ž dvojice žrebna lista'!$A$7:$BK$38,4))</f>
        <v>BLAŽKA</v>
      </c>
      <c r="G43" s="250"/>
      <c r="H43" s="104" t="str">
        <f>IF($D43="","",VLOOKUP($D43,'[1]ž dvojice žrebna lista'!$A$7:$BK$38,5))</f>
        <v>IDRIJ</v>
      </c>
      <c r="I43" s="105"/>
      <c r="J43" s="77" t="s">
        <v>130</v>
      </c>
      <c r="K43" s="114"/>
      <c r="L43" s="264"/>
      <c r="M43" s="260"/>
      <c r="N43" s="77"/>
      <c r="O43" s="114"/>
      <c r="P43" s="77"/>
      <c r="Q43" s="79"/>
      <c r="R43" s="82"/>
      <c r="V43" s="170"/>
    </row>
    <row r="44" spans="1:22" s="83" customFormat="1" ht="9" customHeight="1">
      <c r="A44" s="251"/>
      <c r="B44" s="265"/>
      <c r="C44" s="266" t="str">
        <f>UPPER(IF($D44="","",VLOOKUP($D44,'[1]ž dvojice žrebna lista'!$A$7:$BK$38,18)))</f>
        <v>6916</v>
      </c>
      <c r="D44" s="110">
        <f>IF(D43="","",D43)</f>
        <v>6</v>
      </c>
      <c r="E44" s="104" t="str">
        <f>UPPER(IF($D44="","",VLOOKUP($D44,'[1]ž dvojice žrebna lista'!$A$7:$AV$38,19)))</f>
        <v>MAKAROVIČ</v>
      </c>
      <c r="F44" s="104" t="str">
        <f>UPPER(IF($D44="","",VLOOKUP($D44,'[1]ž dvojice žrebna lista'!$A$7:$AV$38,20)))</f>
        <v>ANIKA</v>
      </c>
      <c r="G44" s="250"/>
      <c r="H44" s="104" t="str">
        <f>UPPER(IF($D44="","",VLOOKUP($D44,'[1]ž dvojice žrebna lista'!$A$7:$AV$38,21)))</f>
        <v>MAJA</v>
      </c>
      <c r="I44" s="254"/>
      <c r="J44" s="77"/>
      <c r="K44" s="114"/>
      <c r="L44" s="267"/>
      <c r="M44" s="268"/>
      <c r="N44" s="77"/>
      <c r="O44" s="114"/>
      <c r="P44" s="77"/>
      <c r="Q44" s="79"/>
      <c r="R44" s="82"/>
      <c r="V44" s="170"/>
    </row>
    <row r="45" spans="1:22" s="83" customFormat="1" ht="9" customHeight="1">
      <c r="A45" s="251"/>
      <c r="B45" s="90"/>
      <c r="C45" s="256"/>
      <c r="D45" s="109"/>
      <c r="E45" s="257"/>
      <c r="F45" s="257"/>
      <c r="G45" s="245"/>
      <c r="H45" s="257"/>
      <c r="I45" s="110"/>
      <c r="J45" s="77"/>
      <c r="K45" s="258"/>
      <c r="L45" s="259" t="str">
        <f>UPPER(IF(OR(K46="a",K46="as"),J41,IF(OR(K46="b",K46="bs"),J49,)))</f>
        <v>OPARENOVIČ</v>
      </c>
      <c r="M45" s="119"/>
      <c r="N45" s="77"/>
      <c r="O45" s="114"/>
      <c r="P45" s="77"/>
      <c r="Q45" s="79"/>
      <c r="R45" s="82"/>
      <c r="V45" s="170"/>
    </row>
    <row r="46" spans="1:22" s="83" customFormat="1" ht="9" customHeight="1">
      <c r="A46" s="251"/>
      <c r="B46" s="90"/>
      <c r="C46" s="256"/>
      <c r="D46" s="109"/>
      <c r="E46" s="257"/>
      <c r="F46" s="257"/>
      <c r="G46" s="245"/>
      <c r="H46" s="257"/>
      <c r="I46" s="110"/>
      <c r="J46" s="93" t="s">
        <v>23</v>
      </c>
      <c r="K46" s="111" t="s">
        <v>154</v>
      </c>
      <c r="L46" s="261" t="str">
        <f>UPPER(IF(OR(K46="a",K46="as"),J42,IF(OR(K46="b",K46="bs"),J50,)))</f>
        <v>REJC</v>
      </c>
      <c r="M46" s="262"/>
      <c r="N46" s="77"/>
      <c r="O46" s="114"/>
      <c r="P46" s="77"/>
      <c r="Q46" s="79"/>
      <c r="R46" s="82"/>
      <c r="V46" s="170"/>
    </row>
    <row r="47" spans="1:22" s="83" customFormat="1" ht="9" customHeight="1">
      <c r="A47" s="269">
        <v>11</v>
      </c>
      <c r="B47" s="103">
        <f>IF($D47="","",VLOOKUP($D47,'[1]ž dvojice žrebna lista'!$A$7:$BO$38,48))</f>
      </c>
      <c r="C47" s="263">
        <f>UPPER(IF($D47="","",VLOOKUP($D47,'[1]ž dvojice žrebna lista'!$A$7:$BK$38,2)))</f>
      </c>
      <c r="D47" s="74"/>
      <c r="E47" s="104" t="s">
        <v>25</v>
      </c>
      <c r="F47" s="104">
        <f>IF($D47="","",VLOOKUP($D47,'[1]ž dvojice žrebna lista'!$A$7:$BK$38,4))</f>
      </c>
      <c r="G47" s="250"/>
      <c r="H47" s="104">
        <f>IF($D47="","",VLOOKUP($D47,'[1]ž dvojice žrebna lista'!$A$7:$BK$38,5))</f>
      </c>
      <c r="I47" s="75"/>
      <c r="J47" s="77"/>
      <c r="K47" s="114"/>
      <c r="L47" s="77" t="s">
        <v>146</v>
      </c>
      <c r="M47" s="114"/>
      <c r="N47" s="264"/>
      <c r="O47" s="114"/>
      <c r="P47" s="77"/>
      <c r="Q47" s="79"/>
      <c r="R47" s="82"/>
      <c r="V47" s="170"/>
    </row>
    <row r="48" spans="1:22" s="83" customFormat="1" ht="9" customHeight="1">
      <c r="A48" s="251"/>
      <c r="B48" s="265"/>
      <c r="C48" s="266">
        <f>UPPER(IF($D48="","",VLOOKUP($D48,'[1]ž dvojice žrebna lista'!$A$7:$BK$38,18)))</f>
      </c>
      <c r="D48" s="110">
        <f>IF(D47="","",D47)</f>
      </c>
      <c r="E48" s="104">
        <f>UPPER(IF($D48="","",VLOOKUP($D48,'[1]ž dvojice žrebna lista'!$A$7:$AV$38,19)))</f>
      </c>
      <c r="F48" s="104">
        <f>UPPER(IF($D48="","",VLOOKUP($D48,'[1]ž dvojice žrebna lista'!$A$7:$AV$38,20)))</f>
      </c>
      <c r="G48" s="250"/>
      <c r="H48" s="104">
        <f>UPPER(IF($D48="","",VLOOKUP($D48,'[1]ž dvojice žrebna lista'!$A$7:$AV$38,21)))</f>
      </c>
      <c r="I48" s="254"/>
      <c r="J48" s="255">
        <f>IF(I48="a",E47,IF(I48="b",E49,""))</f>
      </c>
      <c r="K48" s="114"/>
      <c r="L48" s="77"/>
      <c r="M48" s="114"/>
      <c r="N48" s="77"/>
      <c r="O48" s="114"/>
      <c r="P48" s="77"/>
      <c r="Q48" s="79"/>
      <c r="R48" s="82"/>
      <c r="V48" s="170"/>
    </row>
    <row r="49" spans="1:22" s="83" customFormat="1" ht="9" customHeight="1">
      <c r="A49" s="251"/>
      <c r="B49" s="90"/>
      <c r="C49" s="256"/>
      <c r="D49" s="90"/>
      <c r="E49" s="257"/>
      <c r="F49" s="257"/>
      <c r="G49" s="245"/>
      <c r="H49" s="257"/>
      <c r="I49" s="258"/>
      <c r="J49" s="259" t="str">
        <f>UPPER(IF(OR(I50="a",I50="as"),E47,IF(OR(I50="b",I50="bs"),E51,)))</f>
        <v>OPARENOVIČ</v>
      </c>
      <c r="K49" s="107"/>
      <c r="L49" s="77"/>
      <c r="M49" s="114"/>
      <c r="N49" s="77"/>
      <c r="O49" s="114"/>
      <c r="P49" s="77"/>
      <c r="Q49" s="79"/>
      <c r="R49" s="82"/>
      <c r="V49" s="170"/>
    </row>
    <row r="50" spans="1:22" s="83" customFormat="1" ht="9" customHeight="1">
      <c r="A50" s="251"/>
      <c r="B50" s="90"/>
      <c r="C50" s="256"/>
      <c r="D50" s="90"/>
      <c r="E50" s="257"/>
      <c r="F50" s="257"/>
      <c r="G50" s="245"/>
      <c r="H50" s="93" t="s">
        <v>23</v>
      </c>
      <c r="I50" s="111" t="s">
        <v>75</v>
      </c>
      <c r="J50" s="261" t="str">
        <f>UPPER(IF(OR(I50="a",I50="as"),E48,IF(OR(I50="b",I50="bs"),E52,)))</f>
        <v>REJC</v>
      </c>
      <c r="K50" s="254"/>
      <c r="L50" s="77"/>
      <c r="M50" s="114"/>
      <c r="N50" s="77"/>
      <c r="O50" s="114"/>
      <c r="P50" s="77"/>
      <c r="Q50" s="79"/>
      <c r="R50" s="82"/>
      <c r="V50" s="277"/>
    </row>
    <row r="51" spans="1:22" s="83" customFormat="1" ht="9" customHeight="1">
      <c r="A51" s="278">
        <v>12</v>
      </c>
      <c r="B51" s="104" t="str">
        <f>IF($D51="","",VLOOKUP($D51,'[1]ž dvojice žrebna lista'!$A$7:$BO$38,48))</f>
        <v>D</v>
      </c>
      <c r="C51" s="271" t="str">
        <f>UPPER(IF($D51="","",VLOOKUP($D51,'[1]ž dvojice žrebna lista'!$A$7:$BK$38,2)))</f>
        <v>6453</v>
      </c>
      <c r="D51" s="74">
        <v>3</v>
      </c>
      <c r="E51" s="104" t="str">
        <f>UPPER(IF($D51="","",VLOOKUP($D51,'[1]ž dvojice žrebna lista'!$A$7:$AV$38,3)))</f>
        <v>OPARENOVIČ</v>
      </c>
      <c r="F51" s="104" t="str">
        <f>IF($D51="","",VLOOKUP($D51,'[1]ž dvojice žrebna lista'!$A$7:$BK$38,4))</f>
        <v>ANA</v>
      </c>
      <c r="G51" s="250"/>
      <c r="H51" s="104" t="str">
        <f>IF($D51="","",VLOOKUP($D51,'[1]ž dvojice žrebna lista'!$A$7:$BK$38,5))</f>
        <v>CELJE</v>
      </c>
      <c r="I51" s="105"/>
      <c r="J51" s="77"/>
      <c r="K51" s="119"/>
      <c r="L51" s="264"/>
      <c r="M51" s="107"/>
      <c r="N51" s="77"/>
      <c r="O51" s="114"/>
      <c r="P51" s="77"/>
      <c r="Q51" s="79"/>
      <c r="R51" s="82"/>
      <c r="V51" s="277"/>
    </row>
    <row r="52" spans="1:22" s="83" customFormat="1" ht="9" customHeight="1">
      <c r="A52" s="251"/>
      <c r="B52" s="265"/>
      <c r="C52" s="279" t="str">
        <f>UPPER(IF($D52="","",VLOOKUP($D52,'[1]ž dvojice žrebna lista'!$A$7:$BK$38,18)))</f>
        <v>6144</v>
      </c>
      <c r="D52" s="110">
        <f>IF(D51="","",D51)</f>
        <v>3</v>
      </c>
      <c r="E52" s="104" t="str">
        <f>UPPER(IF($D52="","",VLOOKUP($D52,'[1]ž dvojice žrebna lista'!$A$7:$AV$38,19)))</f>
        <v>REJC</v>
      </c>
      <c r="F52" s="104" t="str">
        <f>UPPER(IF($D52="","",VLOOKUP($D52,'[1]ž dvojice žrebna lista'!$A$7:$AV$38,20)))</f>
        <v>SIMONA</v>
      </c>
      <c r="G52" s="250"/>
      <c r="H52" s="104" t="str">
        <f>UPPER(IF($D52="","",VLOOKUP($D52,'[1]ž dvojice žrebna lista'!$A$7:$AV$38,21)))</f>
        <v>IDRIJ</v>
      </c>
      <c r="I52" s="254"/>
      <c r="J52" s="77"/>
      <c r="K52" s="119"/>
      <c r="L52" s="267"/>
      <c r="M52" s="270"/>
      <c r="N52" s="77"/>
      <c r="O52" s="114"/>
      <c r="P52" s="77"/>
      <c r="Q52" s="79"/>
      <c r="R52" s="82"/>
      <c r="V52" s="277"/>
    </row>
    <row r="53" spans="1:22" s="83" customFormat="1" ht="9" customHeight="1">
      <c r="A53" s="251"/>
      <c r="B53" s="90"/>
      <c r="C53" s="256"/>
      <c r="D53" s="90"/>
      <c r="E53" s="257"/>
      <c r="F53" s="257"/>
      <c r="G53" s="245"/>
      <c r="H53" s="257"/>
      <c r="I53" s="110"/>
      <c r="J53" s="77"/>
      <c r="K53" s="119"/>
      <c r="L53" s="77"/>
      <c r="M53" s="258"/>
      <c r="N53" s="259" t="str">
        <f>UPPER(IF(OR(M54="a",M54="as"),L45,IF(OR(M54="b",M54="bs"),L61,)))</f>
        <v>OPARENOVIČ</v>
      </c>
      <c r="O53" s="114"/>
      <c r="P53" s="77"/>
      <c r="Q53" s="79"/>
      <c r="R53" s="82"/>
      <c r="V53" s="277"/>
    </row>
    <row r="54" spans="1:22" s="83" customFormat="1" ht="9" customHeight="1">
      <c r="A54" s="251"/>
      <c r="B54" s="90"/>
      <c r="C54" s="256"/>
      <c r="D54" s="90"/>
      <c r="E54" s="257"/>
      <c r="F54" s="257"/>
      <c r="G54" s="245"/>
      <c r="H54" s="257"/>
      <c r="I54" s="110"/>
      <c r="J54" s="77"/>
      <c r="K54" s="119"/>
      <c r="L54" s="93" t="s">
        <v>23</v>
      </c>
      <c r="M54" s="111" t="s">
        <v>156</v>
      </c>
      <c r="N54" s="261" t="str">
        <f>UPPER(IF(OR(M54="a",M54="as"),L46,IF(OR(M54="b",M54="bs"),L62,)))</f>
        <v>REJC</v>
      </c>
      <c r="O54" s="254"/>
      <c r="P54" s="77"/>
      <c r="Q54" s="79"/>
      <c r="R54" s="82"/>
      <c r="V54" s="277"/>
    </row>
    <row r="55" spans="1:22" s="83" customFormat="1" ht="9" customHeight="1">
      <c r="A55" s="269">
        <v>13</v>
      </c>
      <c r="B55" s="103" t="str">
        <f>IF($D55="","",VLOOKUP($D55,'[1]ž dvojice žrebna lista'!$A$7:$BO$38,48))</f>
        <v>D</v>
      </c>
      <c r="C55" s="263" t="str">
        <f>UPPER(IF($D55="","",VLOOKUP($D55,'[1]ž dvojice žrebna lista'!$A$7:$BK$38,2)))</f>
        <v>6520</v>
      </c>
      <c r="D55" s="74">
        <v>7</v>
      </c>
      <c r="E55" s="104" t="str">
        <f>UPPER(IF($D55="","",VLOOKUP($D55,'[1]ž dvojice žrebna lista'!$A$7:$AV$38,3)))</f>
        <v>KLANEČEK</v>
      </c>
      <c r="F55" s="104" t="str">
        <f>IF($D55="","",VLOOKUP($D55,'[1]ž dvojice žrebna lista'!$A$7:$BK$38,4))</f>
        <v>SAŠA</v>
      </c>
      <c r="G55" s="250"/>
      <c r="H55" s="104" t="str">
        <f>IF($D55="","",VLOOKUP($D55,'[1]ž dvojice žrebna lista'!$A$7:$BK$38,5))</f>
        <v>ŽTKMB</v>
      </c>
      <c r="I55" s="75"/>
      <c r="J55" s="77"/>
      <c r="K55" s="119"/>
      <c r="L55" s="77"/>
      <c r="M55" s="114"/>
      <c r="N55" s="77" t="s">
        <v>157</v>
      </c>
      <c r="O55" s="119"/>
      <c r="P55" s="77"/>
      <c r="Q55" s="79"/>
      <c r="R55" s="82"/>
      <c r="V55" s="277"/>
    </row>
    <row r="56" spans="1:22" s="83" customFormat="1" ht="9" customHeight="1">
      <c r="A56" s="251"/>
      <c r="B56" s="265"/>
      <c r="C56" s="266" t="str">
        <f>UPPER(IF($D56="","",VLOOKUP($D56,'[1]ž dvojice žrebna lista'!$A$7:$BK$38,18)))</f>
        <v>6951</v>
      </c>
      <c r="D56" s="110">
        <f>IF(D55="","",D55)</f>
        <v>7</v>
      </c>
      <c r="E56" s="104" t="str">
        <f>UPPER(IF($D56="","",VLOOKUP($D56,'[1]ž dvojice žrebna lista'!$A$7:$AV$38,19)))</f>
        <v>KRIVEC</v>
      </c>
      <c r="F56" s="104" t="str">
        <f>UPPER(IF($D56="","",VLOOKUP($D56,'[1]ž dvojice žrebna lista'!$A$7:$AV$38,20)))</f>
        <v>NINA</v>
      </c>
      <c r="G56" s="250"/>
      <c r="H56" s="104" t="str">
        <f>UPPER(IF($D56="","",VLOOKUP($D56,'[1]ž dvojice žrebna lista'!$A$7:$AV$38,21)))</f>
        <v>ŽTKMB</v>
      </c>
      <c r="I56" s="254"/>
      <c r="J56" s="255">
        <f>IF(I56="a",E55,IF(I56="b",E57,""))</f>
      </c>
      <c r="K56" s="119"/>
      <c r="L56" s="77"/>
      <c r="M56" s="114"/>
      <c r="N56" s="77"/>
      <c r="O56" s="119"/>
      <c r="P56" s="77"/>
      <c r="Q56" s="79"/>
      <c r="R56" s="82"/>
      <c r="V56" s="277"/>
    </row>
    <row r="57" spans="1:22" s="83" customFormat="1" ht="9" customHeight="1">
      <c r="A57" s="251"/>
      <c r="B57" s="90"/>
      <c r="C57" s="256"/>
      <c r="D57" s="109"/>
      <c r="E57" s="257"/>
      <c r="F57" s="257"/>
      <c r="G57" s="245"/>
      <c r="H57" s="257"/>
      <c r="I57" s="258"/>
      <c r="J57" s="259" t="str">
        <f>UPPER(IF(OR(I58="a",I58="as"),E55,IF(OR(I58="b",I58="bs"),E59,)))</f>
        <v>MORI</v>
      </c>
      <c r="K57" s="260"/>
      <c r="L57" s="77"/>
      <c r="M57" s="114"/>
      <c r="N57" s="77"/>
      <c r="O57" s="119"/>
      <c r="P57" s="77"/>
      <c r="Q57" s="79"/>
      <c r="R57" s="82"/>
      <c r="V57" s="277"/>
    </row>
    <row r="58" spans="1:22" s="83" customFormat="1" ht="9" customHeight="1">
      <c r="A58" s="251"/>
      <c r="B58" s="90"/>
      <c r="C58" s="256"/>
      <c r="D58" s="109"/>
      <c r="E58" s="257"/>
      <c r="F58" s="257"/>
      <c r="G58" s="245"/>
      <c r="H58" s="93" t="s">
        <v>23</v>
      </c>
      <c r="I58" s="111" t="s">
        <v>162</v>
      </c>
      <c r="J58" s="261" t="str">
        <f>UPPER(IF(OR(I58="a",I58="as"),E56,IF(OR(I58="b",I58="bs"),E60,)))</f>
        <v>FIŠER</v>
      </c>
      <c r="K58" s="262"/>
      <c r="L58" s="77"/>
      <c r="M58" s="114"/>
      <c r="N58" s="77"/>
      <c r="O58" s="119"/>
      <c r="P58" s="77"/>
      <c r="Q58" s="79"/>
      <c r="R58" s="82"/>
      <c r="V58" s="277"/>
    </row>
    <row r="59" spans="1:22" s="83" customFormat="1" ht="9" customHeight="1">
      <c r="A59" s="251">
        <v>14</v>
      </c>
      <c r="B59" s="103" t="str">
        <f>IF($D59="","",VLOOKUP($D59,'[1]ž dvojice žrebna lista'!$A$7:$BO$38,48))</f>
        <v>D</v>
      </c>
      <c r="C59" s="263" t="str">
        <f>UPPER(IF($D59="","",VLOOKUP($D59,'[1]ž dvojice žrebna lista'!$A$7:$BK$38,2)))</f>
        <v>6535</v>
      </c>
      <c r="D59" s="74">
        <v>11</v>
      </c>
      <c r="E59" s="104" t="str">
        <f>UPPER(IF($D59="","",VLOOKUP($D59,'[1]ž dvojice žrebna lista'!$A$7:$AV$38,3)))</f>
        <v>MORI</v>
      </c>
      <c r="F59" s="104" t="str">
        <f>IF($D59="","",VLOOKUP($D59,'[1]ž dvojice žrebna lista'!$A$7:$BK$38,4))</f>
        <v>MAŠA</v>
      </c>
      <c r="G59" s="250"/>
      <c r="H59" s="104" t="str">
        <f>IF($D59="","",VLOOKUP($D59,'[1]ž dvojice žrebna lista'!$A$7:$BK$38,5))</f>
        <v>PORTO</v>
      </c>
      <c r="I59" s="105"/>
      <c r="J59" s="77" t="s">
        <v>167</v>
      </c>
      <c r="K59" s="114"/>
      <c r="L59" s="264"/>
      <c r="M59" s="107"/>
      <c r="N59" s="77"/>
      <c r="O59" s="119"/>
      <c r="P59" s="77"/>
      <c r="Q59" s="79"/>
      <c r="R59" s="82"/>
      <c r="V59" s="277"/>
    </row>
    <row r="60" spans="1:22" s="83" customFormat="1" ht="9" customHeight="1">
      <c r="A60" s="251"/>
      <c r="B60" s="265"/>
      <c r="C60" s="266" t="str">
        <f>UPPER(IF($D60="","",VLOOKUP($D60,'[1]ž dvojice žrebna lista'!$A$7:$BK$38,18)))</f>
        <v>5920</v>
      </c>
      <c r="D60" s="110">
        <f>IF(D59="","",D59)</f>
        <v>11</v>
      </c>
      <c r="E60" s="104" t="str">
        <f>UPPER(IF($D60="","",VLOOKUP($D60,'[1]ž dvojice žrebna lista'!$A$7:$AV$38,19)))</f>
        <v>FIŠER</v>
      </c>
      <c r="F60" s="104" t="str">
        <f>UPPER(IF($D60="","",VLOOKUP($D60,'[1]ž dvojice žrebna lista'!$A$7:$AV$38,20)))</f>
        <v>EVA</v>
      </c>
      <c r="G60" s="250"/>
      <c r="H60" s="104" t="str">
        <f>UPPER(IF($D60="","",VLOOKUP($D60,'[1]ž dvojice žrebna lista'!$A$7:$AV$38,21)))</f>
        <v>KOPER</v>
      </c>
      <c r="I60" s="254"/>
      <c r="J60" s="77"/>
      <c r="K60" s="114"/>
      <c r="L60" s="267"/>
      <c r="M60" s="270"/>
      <c r="N60" s="77"/>
      <c r="O60" s="119"/>
      <c r="P60" s="77"/>
      <c r="Q60" s="79"/>
      <c r="R60" s="82"/>
      <c r="V60" s="277"/>
    </row>
    <row r="61" spans="1:22" s="83" customFormat="1" ht="9" customHeight="1">
      <c r="A61" s="251"/>
      <c r="B61" s="90"/>
      <c r="C61" s="256"/>
      <c r="D61" s="109"/>
      <c r="E61" s="257"/>
      <c r="F61" s="257"/>
      <c r="G61" s="245"/>
      <c r="H61" s="257"/>
      <c r="I61" s="110"/>
      <c r="J61" s="77"/>
      <c r="K61" s="258"/>
      <c r="L61" s="259" t="str">
        <f>UPPER(IF(OR(K62="a",K62="as"),J57,IF(OR(K62="b",K62="bs"),J65,)))</f>
        <v>EMERŠIČ LJUBIČ</v>
      </c>
      <c r="M61" s="114"/>
      <c r="N61" s="77"/>
      <c r="O61" s="119"/>
      <c r="P61" s="77"/>
      <c r="Q61" s="79"/>
      <c r="R61" s="82"/>
      <c r="V61" s="277"/>
    </row>
    <row r="62" spans="1:22" s="83" customFormat="1" ht="9" customHeight="1">
      <c r="A62" s="251"/>
      <c r="B62" s="90"/>
      <c r="C62" s="256"/>
      <c r="D62" s="109"/>
      <c r="E62" s="257"/>
      <c r="F62" s="257"/>
      <c r="G62" s="245"/>
      <c r="H62" s="257"/>
      <c r="I62" s="110"/>
      <c r="J62" s="93" t="s">
        <v>23</v>
      </c>
      <c r="K62" s="111" t="s">
        <v>154</v>
      </c>
      <c r="L62" s="261" t="str">
        <f>UPPER(IF(OR(K62="a",K62="as"),J58,IF(OR(K62="b",K62="bs"),J66,)))</f>
        <v>JERŠE</v>
      </c>
      <c r="M62" s="254"/>
      <c r="N62" s="77"/>
      <c r="O62" s="119"/>
      <c r="P62" s="77"/>
      <c r="Q62" s="79"/>
      <c r="R62" s="82"/>
      <c r="V62" s="277"/>
    </row>
    <row r="63" spans="1:22" s="83" customFormat="1" ht="9" customHeight="1">
      <c r="A63" s="269">
        <v>15</v>
      </c>
      <c r="B63" s="103">
        <f>IF($D63="","",VLOOKUP($D63,'[1]ž dvojice žrebna lista'!$A$7:$BO$38,48))</f>
      </c>
      <c r="C63" s="263">
        <f>UPPER(IF($D63="","",VLOOKUP($D63,'[1]ž dvojice žrebna lista'!$A$7:$BK$38,2)))</f>
      </c>
      <c r="D63" s="74"/>
      <c r="E63" s="104" t="s">
        <v>25</v>
      </c>
      <c r="F63" s="104">
        <f>IF($D63="","",VLOOKUP($D63,'[1]ž dvojice žrebna lista'!$A$7:$BK$38,4))</f>
      </c>
      <c r="G63" s="250"/>
      <c r="H63" s="104">
        <f>IF($D63="","",VLOOKUP($D63,'[1]ž dvojice žrebna lista'!$A$7:$BK$38,5))</f>
      </c>
      <c r="I63" s="75"/>
      <c r="J63" s="77"/>
      <c r="K63" s="114"/>
      <c r="L63" s="77" t="s">
        <v>99</v>
      </c>
      <c r="M63" s="119"/>
      <c r="N63" s="264"/>
      <c r="O63" s="119"/>
      <c r="P63" s="77"/>
      <c r="Q63" s="79"/>
      <c r="R63" s="82"/>
      <c r="V63" s="277"/>
    </row>
    <row r="64" spans="1:22" s="83" customFormat="1" ht="9" customHeight="1">
      <c r="A64" s="251"/>
      <c r="B64" s="265"/>
      <c r="C64" s="266">
        <f>UPPER(IF($D64="","",VLOOKUP($D64,'[1]ž dvojice žrebna lista'!$A$7:$BK$38,18)))</f>
      </c>
      <c r="D64" s="110">
        <f>IF(D63="","",D63)</f>
      </c>
      <c r="E64" s="104">
        <f>UPPER(IF($D64="","",VLOOKUP($D64,'[1]ž dvojice žrebna lista'!$A$7:$AV$38,19)))</f>
      </c>
      <c r="F64" s="104">
        <f>UPPER(IF($D64="","",VLOOKUP($D64,'[1]ž dvojice žrebna lista'!$A$7:$AV$38,20)))</f>
      </c>
      <c r="G64" s="250"/>
      <c r="H64" s="104">
        <f>UPPER(IF($D64="","",VLOOKUP($D64,'[1]ž dvojice žrebna lista'!$A$7:$AV$38,21)))</f>
      </c>
      <c r="I64" s="254"/>
      <c r="J64" s="255">
        <f>IF(I64="a",E63,IF(I64="b",E65,""))</f>
      </c>
      <c r="K64" s="114"/>
      <c r="L64" s="77"/>
      <c r="M64" s="119"/>
      <c r="N64" s="77"/>
      <c r="O64" s="119"/>
      <c r="P64" s="77"/>
      <c r="Q64" s="79"/>
      <c r="R64" s="82"/>
      <c r="V64" s="277"/>
    </row>
    <row r="65" spans="1:22" s="83" customFormat="1" ht="9" customHeight="1">
      <c r="A65" s="251"/>
      <c r="B65" s="90"/>
      <c r="C65" s="256"/>
      <c r="D65" s="90"/>
      <c r="E65" s="280"/>
      <c r="F65" s="280"/>
      <c r="G65" s="281"/>
      <c r="H65" s="280"/>
      <c r="I65" s="258"/>
      <c r="J65" s="259" t="str">
        <f>UPPER(IF(OR(I66="a",I66="as"),E63,IF(OR(I66="b",I66="bs"),E67,)))</f>
        <v>EMERŠIČ LJUBIČ</v>
      </c>
      <c r="K65" s="107"/>
      <c r="L65" s="77"/>
      <c r="M65" s="119"/>
      <c r="N65" s="77"/>
      <c r="O65" s="119"/>
      <c r="P65" s="77"/>
      <c r="Q65" s="79"/>
      <c r="R65" s="82"/>
      <c r="V65" s="277"/>
    </row>
    <row r="66" spans="1:22" s="83" customFormat="1" ht="9" customHeight="1">
      <c r="A66" s="251"/>
      <c r="B66" s="90"/>
      <c r="C66" s="256"/>
      <c r="D66" s="90"/>
      <c r="E66" s="77"/>
      <c r="F66" s="77"/>
      <c r="G66" s="245"/>
      <c r="H66" s="93" t="s">
        <v>23</v>
      </c>
      <c r="I66" s="111" t="s">
        <v>75</v>
      </c>
      <c r="J66" s="261" t="str">
        <f>UPPER(IF(OR(I66="a",I66="as"),E64,IF(OR(I66="b",I66="bs"),E68,)))</f>
        <v>JERŠE</v>
      </c>
      <c r="K66" s="254"/>
      <c r="L66" s="77"/>
      <c r="M66" s="119"/>
      <c r="N66" s="77"/>
      <c r="O66" s="119"/>
      <c r="P66" s="77"/>
      <c r="Q66" s="79"/>
      <c r="R66" s="82"/>
      <c r="V66" s="277"/>
    </row>
    <row r="67" spans="1:22" s="83" customFormat="1" ht="9" customHeight="1">
      <c r="A67" s="278">
        <v>16</v>
      </c>
      <c r="B67" s="104" t="str">
        <f>IF($D67="","",VLOOKUP($D67,'[1]ž dvojice žrebna lista'!$A$7:$BO$38,48))</f>
        <v>D</v>
      </c>
      <c r="C67" s="104" t="str">
        <f>UPPER(IF($D67="","",VLOOKUP($D67,'[1]ž dvojice žrebna lista'!$A$7:$BK$38,2)))</f>
        <v>6236</v>
      </c>
      <c r="D67" s="74">
        <v>2</v>
      </c>
      <c r="E67" s="104" t="str">
        <f>UPPER(IF($D67="","",VLOOKUP($D67,'[1]ž dvojice žrebna lista'!$A$7:$AV$38,3)))</f>
        <v>EMERŠIČ LJUBIČ</v>
      </c>
      <c r="F67" s="104" t="str">
        <f>IF($D67="","",VLOOKUP($D67,'[1]ž dvojice žrebna lista'!$A$7:$BK$38,4))</f>
        <v>KAJA</v>
      </c>
      <c r="G67" s="250"/>
      <c r="H67" s="104" t="str">
        <f>IF($D67="","",VLOOKUP($D67,'[1]ž dvojice žrebna lista'!$A$7:$BK$38,5))</f>
        <v>DOMŽA</v>
      </c>
      <c r="I67" s="105"/>
      <c r="J67" s="77"/>
      <c r="K67" s="119"/>
      <c r="L67" s="264"/>
      <c r="M67" s="260"/>
      <c r="N67" s="77"/>
      <c r="O67" s="119"/>
      <c r="P67" s="77"/>
      <c r="Q67" s="79"/>
      <c r="R67" s="82"/>
      <c r="V67" s="277"/>
    </row>
    <row r="68" spans="1:22" s="83" customFormat="1" ht="9" customHeight="1">
      <c r="A68" s="251"/>
      <c r="B68" s="265"/>
      <c r="C68" s="274" t="str">
        <f>UPPER(IF($D68="","",VLOOKUP($D68,'[1]ž dvojice žrebna lista'!$A$7:$BK$38,18)))</f>
        <v>6322</v>
      </c>
      <c r="D68" s="110">
        <f>IF(D67="","",D67)</f>
        <v>2</v>
      </c>
      <c r="E68" s="104" t="str">
        <f>UPPER(IF($D68="","",VLOOKUP($D68,'[1]ž dvojice žrebna lista'!$A$7:$AV$38,19)))</f>
        <v>JERŠE</v>
      </c>
      <c r="F68" s="104" t="str">
        <f>UPPER(IF($D68="","",VLOOKUP($D68,'[1]ž dvojice žrebna lista'!$A$7:$AV$38,20)))</f>
        <v>TJAŠA</v>
      </c>
      <c r="G68" s="250"/>
      <c r="H68" s="104" t="str">
        <f>UPPER(IF($D68="","",VLOOKUP($D68,'[1]ž dvojice žrebna lista'!$A$7:$AV$38,21)))</f>
        <v>TC-LJ</v>
      </c>
      <c r="I68" s="254"/>
      <c r="J68" s="77"/>
      <c r="K68" s="119"/>
      <c r="L68" s="267"/>
      <c r="M68" s="268"/>
      <c r="N68" s="77"/>
      <c r="O68" s="119"/>
      <c r="P68" s="77"/>
      <c r="Q68" s="79"/>
      <c r="R68" s="82"/>
      <c r="V68" s="277"/>
    </row>
    <row r="69" spans="1:22" s="83" customFormat="1" ht="9" customHeight="1">
      <c r="A69" s="282"/>
      <c r="B69" s="283"/>
      <c r="C69" s="283"/>
      <c r="D69" s="284"/>
      <c r="E69" s="285"/>
      <c r="F69" s="285"/>
      <c r="G69" s="63"/>
      <c r="H69" s="285"/>
      <c r="I69" s="286"/>
      <c r="J69" s="80"/>
      <c r="K69" s="81"/>
      <c r="L69" s="80"/>
      <c r="M69" s="81"/>
      <c r="N69" s="80"/>
      <c r="O69" s="81"/>
      <c r="P69" s="80"/>
      <c r="Q69" s="81"/>
      <c r="R69" s="82"/>
      <c r="V69" s="277"/>
    </row>
    <row r="70" spans="1:22" s="157" customFormat="1" ht="6" customHeight="1">
      <c r="A70" s="282"/>
      <c r="B70" s="283"/>
      <c r="C70" s="283"/>
      <c r="D70" s="284"/>
      <c r="E70" s="285"/>
      <c r="F70" s="285"/>
      <c r="G70" s="287"/>
      <c r="H70" s="285"/>
      <c r="I70" s="286"/>
      <c r="J70" s="80"/>
      <c r="K70" s="81"/>
      <c r="L70" s="154"/>
      <c r="M70" s="155"/>
      <c r="N70" s="154"/>
      <c r="O70" s="155"/>
      <c r="P70" s="154"/>
      <c r="Q70" s="155"/>
      <c r="R70" s="156"/>
      <c r="V70" s="288"/>
    </row>
    <row r="71" spans="1:22" s="170" customFormat="1" ht="10.5" customHeight="1">
      <c r="A71" s="158" t="s">
        <v>36</v>
      </c>
      <c r="B71" s="159"/>
      <c r="C71" s="160"/>
      <c r="D71" s="161" t="s">
        <v>37</v>
      </c>
      <c r="E71" s="162" t="s">
        <v>65</v>
      </c>
      <c r="F71" s="162"/>
      <c r="G71" s="162"/>
      <c r="H71" s="164" t="s">
        <v>85</v>
      </c>
      <c r="I71" s="161" t="s">
        <v>37</v>
      </c>
      <c r="J71" s="162" t="s">
        <v>77</v>
      </c>
      <c r="K71" s="289"/>
      <c r="L71" s="167" t="s">
        <v>42</v>
      </c>
      <c r="M71" s="168"/>
      <c r="N71" s="169" t="s">
        <v>43</v>
      </c>
      <c r="O71" s="169"/>
      <c r="P71" s="422" t="s">
        <v>86</v>
      </c>
      <c r="Q71" s="423"/>
      <c r="V71" s="277"/>
    </row>
    <row r="72" spans="1:22" s="170" customFormat="1" ht="9" customHeight="1">
      <c r="A72" s="172" t="s">
        <v>4</v>
      </c>
      <c r="B72" s="173"/>
      <c r="C72" s="174"/>
      <c r="D72" s="51">
        <v>1</v>
      </c>
      <c r="E72" s="175" t="str">
        <f>IF(C7&gt;0,IF(D7=1,E7,""))</f>
        <v>VOVK</v>
      </c>
      <c r="F72" s="173"/>
      <c r="G72" s="173"/>
      <c r="H72" s="290">
        <f>IF(E72="","",'[1]ž dvojice žrebna lista'!AR8)</f>
        <v>21</v>
      </c>
      <c r="I72" s="291" t="s">
        <v>45</v>
      </c>
      <c r="J72" s="173"/>
      <c r="K72" s="54"/>
      <c r="L72" s="173"/>
      <c r="M72" s="179"/>
      <c r="N72" s="180" t="s">
        <v>79</v>
      </c>
      <c r="O72" s="181"/>
      <c r="P72" s="181"/>
      <c r="Q72" s="179"/>
      <c r="V72" s="277"/>
    </row>
    <row r="73" spans="1:22" s="170" customFormat="1" ht="9" customHeight="1">
      <c r="A73" s="424">
        <v>40695</v>
      </c>
      <c r="B73" s="425"/>
      <c r="C73" s="426"/>
      <c r="D73" s="51"/>
      <c r="E73" s="175" t="str">
        <f>IF(C7&gt;0,IF(D7=1,E8,""))</f>
        <v>GLAVIČ</v>
      </c>
      <c r="F73" s="173"/>
      <c r="G73" s="173"/>
      <c r="H73" s="292"/>
      <c r="I73" s="291" t="s">
        <v>47</v>
      </c>
      <c r="J73" s="173"/>
      <c r="K73" s="54"/>
      <c r="L73" s="173"/>
      <c r="M73" s="179"/>
      <c r="N73" s="185" t="s">
        <v>87</v>
      </c>
      <c r="O73" s="184"/>
      <c r="P73" s="185"/>
      <c r="Q73" s="186"/>
      <c r="V73" s="277"/>
    </row>
    <row r="74" spans="1:22" s="170" customFormat="1" ht="9" customHeight="1">
      <c r="A74" s="187"/>
      <c r="B74" s="188"/>
      <c r="C74" s="189"/>
      <c r="D74" s="51">
        <v>2</v>
      </c>
      <c r="E74" s="175" t="str">
        <f>IF(C67&gt;0,IF(D67=2,E67,""))</f>
        <v>EMERŠIČ LJUBIČ</v>
      </c>
      <c r="F74" s="173"/>
      <c r="G74" s="173"/>
      <c r="H74" s="290">
        <f>IF(E74="","",'[1]ž dvojice žrebna lista'!AR9)</f>
        <v>23</v>
      </c>
      <c r="I74" s="291" t="s">
        <v>49</v>
      </c>
      <c r="J74" s="173"/>
      <c r="K74" s="54"/>
      <c r="L74" s="173"/>
      <c r="M74" s="179"/>
      <c r="N74" s="180" t="s">
        <v>68</v>
      </c>
      <c r="O74" s="181"/>
      <c r="P74" s="181"/>
      <c r="Q74" s="179"/>
      <c r="V74" s="277"/>
    </row>
    <row r="75" spans="1:22" s="170" customFormat="1" ht="9" customHeight="1">
      <c r="A75" s="190"/>
      <c r="B75" s="50"/>
      <c r="C75" s="174"/>
      <c r="D75" s="51"/>
      <c r="E75" s="175" t="str">
        <f>IF(C67&gt;0,IF(D67=2,E68,""))</f>
        <v>JERŠE</v>
      </c>
      <c r="F75" s="173"/>
      <c r="G75" s="173"/>
      <c r="H75" s="292"/>
      <c r="I75" s="291" t="s">
        <v>51</v>
      </c>
      <c r="J75" s="173"/>
      <c r="K75" s="54"/>
      <c r="L75" s="173"/>
      <c r="M75" s="179"/>
      <c r="N75" s="173" t="s">
        <v>48</v>
      </c>
      <c r="O75" s="54"/>
      <c r="P75" s="173"/>
      <c r="Q75" s="179"/>
      <c r="V75" s="277"/>
    </row>
    <row r="76" spans="1:22" s="170" customFormat="1" ht="9" customHeight="1">
      <c r="A76" s="191"/>
      <c r="B76" s="192"/>
      <c r="C76" s="193"/>
      <c r="D76" s="51">
        <v>3</v>
      </c>
      <c r="E76" s="175" t="str">
        <f>IF(AND(C23&gt;0,D23=3),E23,IF(AND(C51&gt;0,D51=3),E51,""))</f>
        <v>OPARENOVIČ</v>
      </c>
      <c r="F76" s="173"/>
      <c r="G76" s="173"/>
      <c r="H76" s="290">
        <f>IF(E76="","",'[1]ž dvojice žrebna lista'!AR10)</f>
        <v>23</v>
      </c>
      <c r="I76" s="291" t="s">
        <v>52</v>
      </c>
      <c r="J76" s="173"/>
      <c r="K76" s="54"/>
      <c r="L76" s="173"/>
      <c r="M76" s="179"/>
      <c r="N76" s="185"/>
      <c r="O76" s="184"/>
      <c r="P76" s="185"/>
      <c r="Q76" s="186"/>
      <c r="V76" s="277"/>
    </row>
    <row r="77" spans="1:22" s="170" customFormat="1" ht="9" customHeight="1">
      <c r="A77" s="172"/>
      <c r="B77" s="173"/>
      <c r="C77" s="174"/>
      <c r="D77" s="51"/>
      <c r="E77" s="175" t="str">
        <f>IF(AND(C23&gt;0,D23=3),E24,IF(AND(C51&gt;0,D51=3),E52,""))</f>
        <v>REJC</v>
      </c>
      <c r="F77" s="173"/>
      <c r="G77" s="173"/>
      <c r="H77" s="292"/>
      <c r="I77" s="291" t="s">
        <v>54</v>
      </c>
      <c r="J77" s="173"/>
      <c r="K77" s="54"/>
      <c r="L77" s="173"/>
      <c r="M77" s="179"/>
      <c r="N77" s="293" t="s">
        <v>53</v>
      </c>
      <c r="O77" s="54"/>
      <c r="P77" s="173"/>
      <c r="Q77" s="179"/>
      <c r="V77" s="277"/>
    </row>
    <row r="78" spans="1:22" s="170" customFormat="1" ht="9" customHeight="1">
      <c r="A78" s="172"/>
      <c r="B78" s="173"/>
      <c r="C78" s="195"/>
      <c r="D78" s="51">
        <v>4</v>
      </c>
      <c r="E78" s="175" t="str">
        <f>IF(AND(C23&gt;0,D23=4),E23,IF(AND(C51&gt;0,D51=4),E51,""))</f>
        <v>BUKOVEC</v>
      </c>
      <c r="F78" s="173"/>
      <c r="G78" s="173"/>
      <c r="H78" s="290">
        <f>IF(E78="","",'[1]ž dvojice žrebna lista'!AR11)</f>
        <v>40</v>
      </c>
      <c r="I78" s="291" t="s">
        <v>55</v>
      </c>
      <c r="J78" s="173"/>
      <c r="K78" s="54"/>
      <c r="L78" s="173"/>
      <c r="M78" s="179"/>
      <c r="N78" s="173" t="s">
        <v>7</v>
      </c>
      <c r="O78" s="54"/>
      <c r="P78" s="417" t="str">
        <f>'[1]vnos podatkov'!$B$10</f>
        <v>Mladen Sredojevič</v>
      </c>
      <c r="Q78" s="418"/>
      <c r="V78" s="277"/>
    </row>
    <row r="79" spans="1:22" s="170" customFormat="1" ht="9" customHeight="1">
      <c r="A79" s="196"/>
      <c r="B79" s="185"/>
      <c r="C79" s="197"/>
      <c r="D79" s="198"/>
      <c r="E79" s="183" t="str">
        <f>IF(AND(C23&gt;0,D23=4),E24,IF(AND(C51&gt;0,D51=4),E52,""))</f>
        <v>SIRŠE</v>
      </c>
      <c r="F79" s="185"/>
      <c r="G79" s="185"/>
      <c r="H79" s="294"/>
      <c r="I79" s="295" t="s">
        <v>56</v>
      </c>
      <c r="J79" s="185"/>
      <c r="K79" s="184"/>
      <c r="L79" s="185"/>
      <c r="M79" s="186"/>
      <c r="N79" s="185" t="s">
        <v>58</v>
      </c>
      <c r="O79" s="184"/>
      <c r="P79" s="413" t="str">
        <f>'[1]vnos podatkov'!$E$10</f>
        <v>Anja Regent</v>
      </c>
      <c r="Q79" s="414" t="str">
        <f>'[1]vnos podatkov'!$E$10</f>
        <v>Anja Regent</v>
      </c>
      <c r="V79" s="277"/>
    </row>
    <row r="80" ht="15.75" customHeight="1"/>
    <row r="81" ht="9" customHeight="1"/>
  </sheetData>
  <sheetProtection/>
  <mergeCells count="5">
    <mergeCell ref="F4:H4"/>
    <mergeCell ref="A73:C73"/>
    <mergeCell ref="P78:Q78"/>
    <mergeCell ref="P79:Q79"/>
    <mergeCell ref="P71:Q71"/>
  </mergeCells>
  <conditionalFormatting sqref="B55 B63 B11 B15 B19 B59 B27 B31 B35 B39 B43 B47">
    <cfRule type="cellIs" priority="1" dxfId="8" operator="equal" stopIfTrue="1">
      <formula>"DA"</formula>
    </cfRule>
  </conditionalFormatting>
  <conditionalFormatting sqref="B7 H7 F7 H51 F23 F67 F51 H67 H23 B51 B67 C67:C68 B23">
    <cfRule type="expression" priority="2" dxfId="10" stopIfTrue="1">
      <formula>AND($D7&lt;5,$C7&gt;0)</formula>
    </cfRule>
  </conditionalFormatting>
  <conditionalFormatting sqref="H52 H8 E68:F68 E24:F24 E52:F52 H24 E8:F8 H68">
    <cfRule type="expression" priority="3" dxfId="10" stopIfTrue="1">
      <formula>AND($D7&lt;5,$C7&gt;0)</formula>
    </cfRule>
  </conditionalFormatting>
  <conditionalFormatting sqref="E67 E23 E51">
    <cfRule type="cellIs" priority="4" dxfId="43" operator="equal" stopIfTrue="1">
      <formula>"Bye"</formula>
    </cfRule>
    <cfRule type="expression" priority="5" dxfId="10" stopIfTrue="1">
      <formula>AND($D23&lt;5,$C23&gt;0)</formula>
    </cfRule>
  </conditionalFormatting>
  <conditionalFormatting sqref="L13 L29 L45 L61 N21 N53 P37 J9 J17 J25 J33 J41 J49 J57 J65">
    <cfRule type="expression" priority="6" dxfId="10" stopIfTrue="1">
      <formula>I10="as"</formula>
    </cfRule>
    <cfRule type="expression" priority="7" dxfId="10" stopIfTrue="1">
      <formula>I10="bs"</formula>
    </cfRule>
  </conditionalFormatting>
  <conditionalFormatting sqref="L14 L30 L46 L62 J66 N54 N22 J10 J18 J26 J34 J42 J50 J58 P38">
    <cfRule type="expression" priority="8" dxfId="10" stopIfTrue="1">
      <formula>I10="as"</formula>
    </cfRule>
    <cfRule type="expression" priority="9" dxfId="10" stopIfTrue="1">
      <formula>I10="bs"</formula>
    </cfRule>
  </conditionalFormatting>
  <conditionalFormatting sqref="I10 I18 I26 I34 I42 I50 I58 I66 K62 K46 K30 K14 M22 M54 O38">
    <cfRule type="expression" priority="10" dxfId="7" stopIfTrue="1">
      <formula>$N$1="CU"</formula>
    </cfRule>
  </conditionalFormatting>
  <conditionalFormatting sqref="E7">
    <cfRule type="expression" priority="11" dxfId="10" stopIfTrue="1">
      <formula>AND($D7&lt;5,$C7&gt;0)</formula>
    </cfRule>
  </conditionalFormatting>
  <conditionalFormatting sqref="E11 E27 E47 E63">
    <cfRule type="cellIs" priority="12" dxfId="43" operator="equal" stopIfTrue="1">
      <formula>"Bye"</formula>
    </cfRule>
    <cfRule type="expression" priority="13" dxfId="43" stopIfTrue="1">
      <formula>AND($D11&lt;5,$C11&gt;0)</formula>
    </cfRule>
  </conditionalFormatting>
  <conditionalFormatting sqref="F11 H11 F15 H15:H16 H27:H28 H31:H32 H35:H36 H39:H40 H43:H44 H47:H48 H55:H56 H59:H60 H63:H64">
    <cfRule type="expression" priority="14" dxfId="43" stopIfTrue="1">
      <formula>AND($D11&lt;5,$C11&gt;0)</formula>
    </cfRule>
  </conditionalFormatting>
  <conditionalFormatting sqref="E12:F12 F40 F44 F48 L39 F56 F60 F64">
    <cfRule type="expression" priority="15" dxfId="43" stopIfTrue="1">
      <formula>AND($D11&lt;5,$C11&gt;0)</formula>
    </cfRule>
  </conditionalFormatting>
  <conditionalFormatting sqref="H12">
    <cfRule type="expression" priority="16" dxfId="43" stopIfTrue="1">
      <formula>AND($D12&lt;5,$C12&gt;0)</formula>
    </cfRule>
  </conditionalFormatting>
  <conditionalFormatting sqref="E15 E19:F20 H19:H20 E39:E40 E43:E44 E28 E55:E56 E59:E60 E48 F39 F43 F47 F55 F59 F63 E35:F36 E31:F32 F27:F28 E64">
    <cfRule type="cellIs" priority="17" dxfId="43" operator="equal" stopIfTrue="1">
      <formula>"Bye"</formula>
    </cfRule>
    <cfRule type="expression" priority="18" dxfId="43" stopIfTrue="1">
      <formula>AND($D15&lt;5,$C15&gt;0)</formula>
    </cfRule>
  </conditionalFormatting>
  <conditionalFormatting sqref="E16:F16">
    <cfRule type="expression" priority="19" dxfId="43" stopIfTrue="1">
      <formula>AND($D15&lt;5,$C15&gt;0)</formula>
    </cfRule>
  </conditionalFormatting>
  <conditionalFormatting sqref="H10 L22 H34 H18 H26 H42 H50 H58 H66 J46 J62 N38 L54 J30 J14">
    <cfRule type="expression" priority="20" dxfId="4" stopIfTrue="1">
      <formula>AND($N$1="CU",H10="Sodnik")</formula>
    </cfRule>
    <cfRule type="expression" priority="21" dxfId="3" stopIfTrue="1">
      <formula>AND($N$1="CU",H10&lt;&gt;"Umpire",I10&lt;&gt;"")</formula>
    </cfRule>
    <cfRule type="expression" priority="22" dxfId="2" stopIfTrue="1">
      <formula>AND($N$1="CU",H10&lt;&gt;"Umpire")</formula>
    </cfRule>
  </conditionalFormatting>
  <conditionalFormatting sqref="D8 D12 D16 D20 D24 D28 D32 D36 D40 D44 D48 D52 D56 D60 D64 D68">
    <cfRule type="expression" priority="23" dxfId="5" stopIfTrue="1">
      <formula>"IF(D7=D8)"</formula>
    </cfRule>
  </conditionalFormatting>
  <conditionalFormatting sqref="D42">
    <cfRule type="expression" priority="24" dxfId="1" stopIfTrue="1">
      <formula>AND($D42&gt;0,$D42&lt;5,$C42&gt;0)</formula>
    </cfRule>
    <cfRule type="expression" priority="25" dxfId="5" stopIfTrue="1">
      <formula>$D42&gt;0</formula>
    </cfRule>
    <cfRule type="expression" priority="26" dxfId="5" stopIfTrue="1">
      <formula>$E42="Bye"</formula>
    </cfRule>
  </conditionalFormatting>
  <conditionalFormatting sqref="C51 C23:C24 C7:C8">
    <cfRule type="expression" priority="27" dxfId="0" stopIfTrue="1">
      <formula>AND($D7&gt;0,$D7&lt;5,$C7&gt;0)</formula>
    </cfRule>
    <cfRule type="expression" priority="28" dxfId="30" stopIfTrue="1">
      <formula>$D7&gt;0</formula>
    </cfRule>
    <cfRule type="expression" priority="29" dxfId="33" stopIfTrue="1">
      <formula>$E7="Bye"</formula>
    </cfRule>
  </conditionalFormatting>
  <conditionalFormatting sqref="C52">
    <cfRule type="expression" priority="30" dxfId="0" stopIfTrue="1">
      <formula>AND($D52&gt;0,$D52&lt;5,$C52&gt;0)</formula>
    </cfRule>
    <cfRule type="expression" priority="31" dxfId="30" stopIfTrue="1">
      <formula>$D52&gt;0</formula>
    </cfRule>
    <cfRule type="expression" priority="32" dxfId="30" stopIfTrue="1">
      <formula>$E52="Bye"</formula>
    </cfRule>
  </conditionalFormatting>
  <conditionalFormatting sqref="D7 D67 D51 D23">
    <cfRule type="expression" priority="33" dxfId="29" stopIfTrue="1">
      <formula>$D7&gt;0</formula>
    </cfRule>
  </conditionalFormatting>
  <conditionalFormatting sqref="D11 D15 D19 D27 D31 D35 D39 D43 D47 D55 D59 D63">
    <cfRule type="expression" priority="34" dxfId="28" stopIfTrue="1">
      <formula>$D11&gt;0</formula>
    </cfRule>
  </conditionalFormatting>
  <dataValidations count="1">
    <dataValidation type="list" allowBlank="1" showInputMessage="1" sqref="H10 L22 H18 H26 H34 H42 H50 H58 H66 J62 J46 L54 N38 J30 J14">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J79"/>
  <sheetViews>
    <sheetView showGridLines="0" showZeros="0" zoomScalePageLayoutView="0" workbookViewId="0" topLeftCell="A1">
      <selection activeCell="U72" sqref="U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6.140625" style="0" customWidth="1"/>
    <col min="9" max="9" width="2.57421875" style="202" customWidth="1"/>
    <col min="10" max="10" width="10.7109375" style="0" customWidth="1"/>
    <col min="11" max="11" width="2.421875" style="202" customWidth="1"/>
    <col min="12" max="12" width="10.7109375" style="0" customWidth="1"/>
    <col min="13" max="13" width="1.7109375" style="203" customWidth="1"/>
    <col min="14" max="14" width="10.7109375" style="0" customWidth="1"/>
    <col min="15" max="15" width="1.7109375" style="204" customWidth="1"/>
    <col min="16" max="16" width="10.7109375" style="0" customWidth="1"/>
    <col min="17" max="17" width="4.57421875" style="203" customWidth="1"/>
    <col min="18" max="18" width="1.7109375" style="0" hidden="1" customWidth="1"/>
    <col min="19" max="19" width="8.7109375" style="0" hidden="1" customWidth="1"/>
    <col min="20" max="20" width="8.28125" style="0" hidden="1" customWidth="1"/>
    <col min="21" max="21" width="9.140625" style="20" customWidth="1"/>
    <col min="22" max="22" width="4.421875" style="0" customWidth="1"/>
    <col min="27" max="27" width="11.8515625" style="0" customWidth="1"/>
    <col min="28" max="30" width="9.140625" style="0" hidden="1" customWidth="1"/>
    <col min="31" max="31" width="10.421875" style="0" customWidth="1"/>
    <col min="32" max="32" width="9.140625" style="24" customWidth="1"/>
    <col min="35" max="35" width="9.8515625" style="0" customWidth="1"/>
  </cols>
  <sheetData>
    <row r="1" spans="1:32" s="9" customFormat="1" ht="21.75" customHeight="1">
      <c r="A1" s="1" t="s">
        <v>169</v>
      </c>
      <c r="B1" s="2"/>
      <c r="C1" s="3"/>
      <c r="D1" s="3"/>
      <c r="E1" s="3"/>
      <c r="F1" s="3"/>
      <c r="G1" s="3"/>
      <c r="H1" s="4"/>
      <c r="I1" s="3"/>
      <c r="J1" s="5" t="s">
        <v>0</v>
      </c>
      <c r="K1" s="6"/>
      <c r="L1" s="7"/>
      <c r="M1" s="8"/>
      <c r="N1" s="8" t="s">
        <v>1</v>
      </c>
      <c r="O1" s="8"/>
      <c r="P1" s="3"/>
      <c r="Q1" s="8"/>
      <c r="U1" s="10"/>
      <c r="V1" s="11" t="str">
        <f>'[1]vnos podatkov'!$A$6</f>
        <v>OP 16 TK PORTOROŽ</v>
      </c>
      <c r="AF1" s="12"/>
    </row>
    <row r="2" spans="1:32" s="19" customFormat="1" ht="15">
      <c r="A2" s="13">
        <f>'[1]vnos podatkov'!$A$8</f>
        <v>16</v>
      </c>
      <c r="B2" s="14" t="str">
        <f>'[1]vnos podatkov'!$B$8</f>
        <v>mž</v>
      </c>
      <c r="C2" s="15" t="str">
        <f>'[1]vnos podatkov'!$C$8</f>
        <v>A turnir</v>
      </c>
      <c r="D2" s="14"/>
      <c r="E2" s="14"/>
      <c r="F2" s="16"/>
      <c r="G2" s="17"/>
      <c r="H2" s="17"/>
      <c r="I2" s="17"/>
      <c r="J2" s="5" t="s">
        <v>2</v>
      </c>
      <c r="K2" s="6"/>
      <c r="L2" s="6"/>
      <c r="M2" s="18"/>
      <c r="N2" s="17"/>
      <c r="O2" s="18"/>
      <c r="P2" s="17"/>
      <c r="Q2" s="18"/>
      <c r="U2" s="20"/>
      <c r="V2" s="21">
        <f>'[1]vnos podatkov'!$A$8</f>
        <v>16</v>
      </c>
      <c r="W2" s="22" t="str">
        <f>'[1]vnos podatkov'!$B$8</f>
        <v>mž</v>
      </c>
      <c r="X2" s="22" t="str">
        <f>'[1]vnos podatkov'!$C$8</f>
        <v>A turnir</v>
      </c>
      <c r="Y2" s="23" t="str">
        <f>'[1]vnos podatkov'!$A$10</f>
        <v>20./22.7.2011</v>
      </c>
      <c r="AF2" s="24"/>
    </row>
    <row r="3" spans="1:32" s="29" customFormat="1" ht="11.25" customHeight="1">
      <c r="A3" s="25" t="s">
        <v>3</v>
      </c>
      <c r="B3" s="25"/>
      <c r="C3" s="25"/>
      <c r="D3" s="25" t="s">
        <v>4</v>
      </c>
      <c r="E3" s="25"/>
      <c r="F3" s="411" t="s">
        <v>5</v>
      </c>
      <c r="G3" s="411"/>
      <c r="H3" s="25"/>
      <c r="I3" s="27"/>
      <c r="J3" s="26" t="s">
        <v>6</v>
      </c>
      <c r="K3" s="27"/>
      <c r="L3" s="25" t="s">
        <v>7</v>
      </c>
      <c r="M3" s="27"/>
      <c r="N3" s="26" t="s">
        <v>8</v>
      </c>
      <c r="O3" s="27"/>
      <c r="P3" s="25"/>
      <c r="Q3" s="28" t="s">
        <v>9</v>
      </c>
      <c r="U3" s="30"/>
      <c r="V3" s="31" t="s">
        <v>10</v>
      </c>
      <c r="W3" s="32"/>
      <c r="X3" s="33"/>
      <c r="Y3" s="34"/>
      <c r="Z3" s="35"/>
      <c r="AA3" s="36"/>
      <c r="AB3" s="36"/>
      <c r="AC3" s="36"/>
      <c r="AD3" s="36"/>
      <c r="AE3" s="37"/>
      <c r="AF3" s="38"/>
    </row>
    <row r="4" spans="1:32" s="45" customFormat="1" ht="11.25" customHeight="1" thickBot="1">
      <c r="A4" s="39" t="str">
        <f>'[1]vnos podatkov'!$D$8</f>
        <v>OP</v>
      </c>
      <c r="B4" s="39"/>
      <c r="C4" s="39"/>
      <c r="D4" s="39" t="str">
        <f>'[1]vnos podatkov'!$A$10</f>
        <v>20./22.7.2011</v>
      </c>
      <c r="E4" s="40"/>
      <c r="F4" s="428" t="str">
        <f>'[1]vnos podatkov'!$C$10</f>
        <v>TK Portorož</v>
      </c>
      <c r="G4" s="428"/>
      <c r="H4" s="40"/>
      <c r="I4" s="40"/>
      <c r="J4" s="41">
        <f>'[1]vnos podatkov'!$D$10</f>
        <v>2</v>
      </c>
      <c r="K4" s="40"/>
      <c r="L4" s="42" t="str">
        <f>'[1]vnos podatkov'!$B$10</f>
        <v>Mladen Sredojevič</v>
      </c>
      <c r="M4" s="40"/>
      <c r="N4" s="43">
        <f>COUNTIF(C7:C69,"&gt;0")</f>
        <v>22</v>
      </c>
      <c r="O4" s="40"/>
      <c r="P4" s="40"/>
      <c r="Q4" s="44" t="str">
        <f>'[1]vnos podatkov'!$E$10</f>
        <v>Anja Regent</v>
      </c>
      <c r="U4" s="46"/>
      <c r="V4" s="47"/>
      <c r="W4" s="47"/>
      <c r="X4" s="47"/>
      <c r="Y4" s="48"/>
      <c r="Z4" s="48"/>
      <c r="AA4" s="48"/>
      <c r="AB4" s="48"/>
      <c r="AC4" s="48"/>
      <c r="AD4" s="48"/>
      <c r="AE4" s="48"/>
      <c r="AF4" s="49"/>
    </row>
    <row r="5" spans="1:32" s="29" customFormat="1" ht="11.25">
      <c r="A5" s="50"/>
      <c r="B5" s="51" t="s">
        <v>11</v>
      </c>
      <c r="C5" s="51" t="s">
        <v>12</v>
      </c>
      <c r="D5" s="51" t="s">
        <v>13</v>
      </c>
      <c r="E5" s="51" t="s">
        <v>14</v>
      </c>
      <c r="F5" s="52" t="s">
        <v>15</v>
      </c>
      <c r="G5" s="52"/>
      <c r="H5" s="52" t="s">
        <v>5</v>
      </c>
      <c r="I5" s="52"/>
      <c r="J5" s="51" t="s">
        <v>16</v>
      </c>
      <c r="K5" s="51"/>
      <c r="L5" s="51" t="s">
        <v>17</v>
      </c>
      <c r="M5" s="53"/>
      <c r="N5" s="51"/>
      <c r="O5" s="53"/>
      <c r="P5" s="51"/>
      <c r="Q5" s="54"/>
      <c r="U5" s="30"/>
      <c r="V5" s="55" t="s">
        <v>18</v>
      </c>
      <c r="W5" s="56" t="s">
        <v>14</v>
      </c>
      <c r="X5" s="57" t="s">
        <v>15</v>
      </c>
      <c r="Y5" s="35" t="s">
        <v>19</v>
      </c>
      <c r="Z5" s="58" t="s">
        <v>20</v>
      </c>
      <c r="AA5" s="58" t="s">
        <v>21</v>
      </c>
      <c r="AB5" s="58"/>
      <c r="AC5" s="58"/>
      <c r="AD5" s="58"/>
      <c r="AE5" s="59" t="s">
        <v>22</v>
      </c>
      <c r="AF5" s="38"/>
    </row>
    <row r="6" spans="1:32" s="29" customFormat="1" ht="3.75" customHeight="1" thickBot="1">
      <c r="A6" s="60"/>
      <c r="B6" s="61"/>
      <c r="C6" s="37"/>
      <c r="D6" s="61"/>
      <c r="E6" s="62"/>
      <c r="F6" s="62"/>
      <c r="G6" s="63"/>
      <c r="H6" s="62"/>
      <c r="I6" s="61"/>
      <c r="J6" s="61"/>
      <c r="K6" s="61"/>
      <c r="L6" s="61"/>
      <c r="M6" s="64"/>
      <c r="N6" s="61"/>
      <c r="O6" s="64"/>
      <c r="P6" s="61"/>
      <c r="Q6" s="65"/>
      <c r="U6" s="30"/>
      <c r="V6" s="66"/>
      <c r="W6" s="67"/>
      <c r="X6" s="68"/>
      <c r="Y6" s="69"/>
      <c r="Z6" s="70"/>
      <c r="AA6" s="70"/>
      <c r="AB6" s="70"/>
      <c r="AC6" s="70"/>
      <c r="AD6" s="70"/>
      <c r="AE6" s="71"/>
      <c r="AF6" s="38"/>
    </row>
    <row r="7" spans="1:32" s="83" customFormat="1" ht="10.5" customHeight="1">
      <c r="A7" s="72">
        <v>1</v>
      </c>
      <c r="B7" s="73" t="str">
        <f>UPPER(IF($D7="","",VLOOKUP($D7,'[1]m kvalifikacije žrebna lista'!$A$7:$R$38,17)))</f>
        <v>D</v>
      </c>
      <c r="C7" s="73">
        <f>(IF($D7="","",VLOOKUP($D7,'[1]m kvalifikacije žrebna lista'!$A$7:$R$38,2)))</f>
        <v>6170</v>
      </c>
      <c r="D7" s="74">
        <v>1</v>
      </c>
      <c r="E7" s="73" t="str">
        <f>UPPER(IF($D7="","",VLOOKUP($D7,'[1]m kvalifikacije žrebna lista'!$A$7:$R$38,3)))</f>
        <v>ČAČIČ</v>
      </c>
      <c r="F7" s="73" t="str">
        <f>PROPER(IF($D7="","",VLOOKUP($D7,'[1]m kvalifikacije žrebna lista'!$A$7:$R$38,4)))</f>
        <v>Nino</v>
      </c>
      <c r="G7" s="73"/>
      <c r="H7" s="73" t="str">
        <f>UPPER(IF($D7="","",VLOOKUP($D7,'[1]m kvalifikacije žrebna lista'!$A$7:$R$38,5)))</f>
        <v>ŽTKMB</v>
      </c>
      <c r="I7" s="75">
        <f>IF($D7="","",VLOOKUP($D7,'[1]m kvalifikacije žrebna lista'!$A$7:$R$38,14))</f>
        <v>10</v>
      </c>
      <c r="J7" s="76"/>
      <c r="K7" s="77"/>
      <c r="L7" s="76"/>
      <c r="M7" s="76"/>
      <c r="N7" s="78"/>
      <c r="O7" s="79"/>
      <c r="P7" s="80"/>
      <c r="Q7" s="81"/>
      <c r="R7" s="82"/>
      <c r="T7" s="84" t="str">
        <f>'[1]glavni sodniki'!P21</f>
        <v>Sodnik</v>
      </c>
      <c r="U7" s="30">
        <f>IF($D7="","",VLOOKUP($D7,'[1]m kvalifikacije žrebna lista'!$A$7:$R$38,2))</f>
        <v>6170</v>
      </c>
      <c r="V7" s="56">
        <v>1</v>
      </c>
      <c r="W7" s="56" t="str">
        <f>UPPER(IF($D$7="","",VLOOKUP($D$7,'[1]m kvalifikacije žrebna lista'!$A$7:$R$38,3)))</f>
        <v>ČAČIČ</v>
      </c>
      <c r="X7" s="56" t="str">
        <f>PROPER(IF($D$7="","",VLOOKUP($D$7,'[1]m kvalifikacije žrebna lista'!$A$7:$R$38,4)))</f>
        <v>Nino</v>
      </c>
      <c r="Y7" s="85">
        <f aca="true" t="shared" si="0" ref="Y7:Y38">IF(W7="","",IF($Q$62=1,9,IF($Q$62=2,6,IF($Q$62=3,3,""))))</f>
        <v>6</v>
      </c>
      <c r="Z7" s="86">
        <f>IF($W7="","",IF(AND($Q$62=1,$U$8=$U$7),3,IF(AND($Q$62=2,$U$8=$U$7),2,IF(AND($Q$62=3,$U$8=$U$7),1,""))))</f>
        <v>2</v>
      </c>
      <c r="AA7" s="87">
        <f>IF($W7="","",IF(AND($Q$62=1,$U$10=$U$8,$U$8=$U$7),3,IF(AND($Q$62=2,$U$10=$U$8,$U$8=$U$7),2,IF(AND($Q$62=3,$U$10=$U$8,$U$8=$U$7),1,""))))</f>
        <v>2</v>
      </c>
      <c r="AB7" s="58"/>
      <c r="AC7" s="58"/>
      <c r="AD7" s="58"/>
      <c r="AE7" s="88">
        <f aca="true" t="shared" si="1" ref="AE7:AE38">IF($C$2="B turnir",SUM(Y7:AD7)*0.1,SUM(Y7:AD7))</f>
        <v>10</v>
      </c>
      <c r="AF7" s="38"/>
    </row>
    <row r="8" spans="1:32" s="83" customFormat="1" ht="9" customHeight="1">
      <c r="A8" s="89"/>
      <c r="B8" s="90"/>
      <c r="C8" s="90"/>
      <c r="D8" s="90"/>
      <c r="E8" s="91"/>
      <c r="F8" s="91"/>
      <c r="G8" s="92"/>
      <c r="H8" s="93" t="s">
        <v>23</v>
      </c>
      <c r="I8" s="94" t="s">
        <v>24</v>
      </c>
      <c r="J8" s="95" t="str">
        <f>UPPER(IF(OR(I8="a",I8="as"),E7,IF(OR(I8="b",I8="bs"),E9,)))</f>
        <v>ČAČIČ</v>
      </c>
      <c r="K8" s="96">
        <f>IF(OR(I8="a",I8="as"),I7,IF(OR(I8="b",I8="bs"),I9,))</f>
        <v>10</v>
      </c>
      <c r="L8" s="76"/>
      <c r="M8" s="76"/>
      <c r="N8" s="78"/>
      <c r="O8" s="79"/>
      <c r="P8" s="80"/>
      <c r="Q8" s="81"/>
      <c r="R8" s="82"/>
      <c r="T8" s="97" t="str">
        <f>'[1]glavni sodniki'!P22</f>
        <v> </v>
      </c>
      <c r="U8" s="30">
        <f>IF(OR(I8="a",I8="as"),C7,IF(OR(I8="b",I8="bs"),C9,""))</f>
        <v>6170</v>
      </c>
      <c r="V8" s="98">
        <v>2</v>
      </c>
      <c r="W8" s="99">
        <f>UPPER(IF($D$9="","",VLOOKUP($D$9,'[1]m kvalifikacije žrebna lista'!$A$7:$R$38,3)))</f>
      </c>
      <c r="X8" s="99">
        <f>PROPER(IF($D$9="","",VLOOKUP($D$9,'[1]m kvalifikacije žrebna lista'!$A$7:$R$38,4)))</f>
      </c>
      <c r="Y8" s="100">
        <f t="shared" si="0"/>
      </c>
      <c r="Z8" s="101">
        <f>IF(W8="","",IF(AND($Q$62=1,$U8=$U$9),3,IF(AND($Q$62=2,$U$8=$U$9),2,IF(AND($Q$62=3,$U$8=$U$9),1,""))))</f>
      </c>
      <c r="AA8" s="101">
        <f>IF($W8="","",IF(AND($Q$62=1,$U$10=$U$8,$U$8=$U$9),3,IF(AND($Q$62=2,$U$10=$U$8,$U$8=$U$9),2,IF(AND($Q$62=3,$U$10=$U$8,$U$8=$U$9),1,""))))</f>
      </c>
      <c r="AB8" s="100"/>
      <c r="AC8" s="100"/>
      <c r="AD8" s="100"/>
      <c r="AE8" s="102">
        <f t="shared" si="1"/>
        <v>0</v>
      </c>
      <c r="AF8" s="38"/>
    </row>
    <row r="9" spans="1:32" s="83" customFormat="1" ht="9" customHeight="1">
      <c r="A9" s="89">
        <v>2</v>
      </c>
      <c r="B9" s="103">
        <f>UPPER(IF($D9="","",VLOOKUP($D9,'[1]m kvalifikacije žrebna lista'!$A$7:$R$38,17)))</f>
      </c>
      <c r="C9" s="103">
        <f>(IF($D9="","",VLOOKUP($D9,'[1]m kvalifikacije žrebna lista'!$A$7:$R$38,2)))</f>
      </c>
      <c r="D9" s="74"/>
      <c r="E9" s="104" t="s">
        <v>25</v>
      </c>
      <c r="F9" s="104">
        <f>PROPER(IF($D9="","",VLOOKUP($D9,'[1]m kvalifikacije žrebna lista'!$A$7:$R$38,4)))</f>
      </c>
      <c r="G9" s="104"/>
      <c r="H9" s="104">
        <f>UPPER(IF($D9="","",VLOOKUP($D9,'[1]m kvalifikacije žrebna lista'!$A$7:$R$38,5)))</f>
      </c>
      <c r="I9" s="105">
        <f>IF($D9="","",VLOOKUP($D9,'[1]m kvalifikacije žrebna lista'!$A$7:$R$38,14))</f>
      </c>
      <c r="J9" s="106"/>
      <c r="K9" s="107"/>
      <c r="L9" s="76"/>
      <c r="M9" s="76"/>
      <c r="N9" s="78"/>
      <c r="O9" s="79"/>
      <c r="P9" s="80"/>
      <c r="Q9" s="81"/>
      <c r="R9" s="82"/>
      <c r="T9" s="97" t="str">
        <f>'[1]glavni sodniki'!P23</f>
        <v> </v>
      </c>
      <c r="U9" s="30">
        <f>IF($D9="","",VLOOKUP($D9,'[1]m kvalifikacije žrebna lista'!$A$7:$R$38,2))</f>
      </c>
      <c r="V9" s="56">
        <v>3</v>
      </c>
      <c r="W9" s="56" t="str">
        <f>UPPER(IF($D$11="","",VLOOKUP($D$11,'[1]m kvalifikacije žrebna lista'!$A$7:$R$38,3)))</f>
        <v>FAJFAR</v>
      </c>
      <c r="X9" s="56" t="str">
        <f>PROPER(IF($D$11="","",VLOOKUP($D$11,'[1]m kvalifikacije žrebna lista'!$A$7:$R$38,4)))</f>
        <v>Tine</v>
      </c>
      <c r="Y9" s="58">
        <f t="shared" si="0"/>
        <v>6</v>
      </c>
      <c r="Z9" s="108">
        <f>IF(W9="","",IF(AND($Q$62=1,$U$12=$U$11),3,IF(AND($Q$62=2,$U$12=$U$11),2,IF(AND($Q$62=3,$U$12=$U$11),1,""))))</f>
      </c>
      <c r="AA9" s="87">
        <f>IF($W9="","",IF(AND($Q$62=1,$U$10=$U$12,$U$12=$U$11),3,IF(AND($Q$62=2,$U$10=$U$12,$U$12=$U$11),2,IF(AND($Q$62=3,$U$10=$U$12,$U$12=$U$11),1,""))))</f>
      </c>
      <c r="AB9" s="58"/>
      <c r="AC9" s="58"/>
      <c r="AD9" s="58"/>
      <c r="AE9" s="88">
        <f t="shared" si="1"/>
        <v>6</v>
      </c>
      <c r="AF9" s="38"/>
    </row>
    <row r="10" spans="1:32" s="83" customFormat="1" ht="9" customHeight="1">
      <c r="A10" s="89"/>
      <c r="B10" s="90"/>
      <c r="C10" s="90"/>
      <c r="D10" s="109"/>
      <c r="E10" s="91"/>
      <c r="F10" s="91"/>
      <c r="G10" s="92"/>
      <c r="H10" s="91"/>
      <c r="I10" s="110"/>
      <c r="J10" s="93" t="s">
        <v>23</v>
      </c>
      <c r="K10" s="111" t="s">
        <v>24</v>
      </c>
      <c r="L10" s="95" t="str">
        <f>UPPER(IF(OR(K10="a",K10="as"),J8,IF(OR(K10="b",K10="bs"),J12,)))</f>
        <v>ČAČIČ</v>
      </c>
      <c r="M10" s="112"/>
      <c r="N10" s="113"/>
      <c r="O10" s="113"/>
      <c r="P10" s="80"/>
      <c r="Q10" s="81"/>
      <c r="R10" s="82"/>
      <c r="T10" s="97" t="str">
        <f>'[1]glavni sodniki'!P24</f>
        <v> </v>
      </c>
      <c r="U10" s="30">
        <f>IF(OR(K10="a",K10="as"),$U$8,IF(OR(K10="b",K10="bs"),U12,""))</f>
        <v>6170</v>
      </c>
      <c r="V10" s="98">
        <v>4</v>
      </c>
      <c r="W10" s="98" t="str">
        <f>UPPER(IF($D$13="","",VLOOKUP($D$13,'[1]m kvalifikacije žrebna lista'!$A$7:$R$38,3)))</f>
        <v>TRAJKOVSKI </v>
      </c>
      <c r="X10" s="98" t="str">
        <f>PROPER(IF($D$13="","",VLOOKUP($D$13,'[1]m kvalifikacije žrebna lista'!$A$7:$R$38,4)))</f>
        <v>Andrej</v>
      </c>
      <c r="Y10" s="100">
        <f t="shared" si="0"/>
        <v>6</v>
      </c>
      <c r="Z10" s="101">
        <f>IF(W10="","",IF(AND($Q$62=1,$U$12=$U$13),3,IF(AND($Q$62=2,$U$12=$U$13),2,IF(AND($Q$62=3,$U$12=$U$13),1,""))))</f>
        <v>2</v>
      </c>
      <c r="AA10" s="101">
        <f>IF($W10="","",IF(AND($Q$62=1,$U$10=$U$12,$U$12=$U$13),3,IF(AND($Q$62=2,$U$10=$U$12,$U$12=$U$13),2,IF(AND($Q$62=3,$U$10=$U$12,$U$12=$U$13),1,""))))</f>
      </c>
      <c r="AB10" s="100"/>
      <c r="AC10" s="100"/>
      <c r="AD10" s="100"/>
      <c r="AE10" s="102">
        <f t="shared" si="1"/>
        <v>8</v>
      </c>
      <c r="AF10" s="38"/>
    </row>
    <row r="11" spans="1:32" s="83" customFormat="1" ht="9" customHeight="1">
      <c r="A11" s="89">
        <v>3</v>
      </c>
      <c r="B11" s="103" t="str">
        <f>UPPER(IF($D11="","",VLOOKUP($D11,'[1]m kvalifikacije žrebna lista'!$A$7:$R$38,17)))</f>
        <v>D</v>
      </c>
      <c r="C11" s="103">
        <f>(IF($D11="","",VLOOKUP($D11,'[1]m kvalifikacije žrebna lista'!$A$7:$R$38,2)))</f>
        <v>7488</v>
      </c>
      <c r="D11" s="74">
        <v>18</v>
      </c>
      <c r="E11" s="104" t="str">
        <f>UPPER(IF($D11="","",VLOOKUP($D11,'[1]m kvalifikacije žrebna lista'!$A$7:$R$38,3)))</f>
        <v>FAJFAR</v>
      </c>
      <c r="F11" s="104" t="str">
        <f>PROPER(IF($D11="","",VLOOKUP($D11,'[1]m kvalifikacije žrebna lista'!$A$7:$R$38,4)))</f>
        <v>Tine</v>
      </c>
      <c r="G11" s="104"/>
      <c r="H11" s="104" t="str">
        <f>UPPER(IF($D11="","",VLOOKUP($D11,'[1]m kvalifikacije žrebna lista'!$A$7:$R$38,5)))</f>
        <v>TR-KR</v>
      </c>
      <c r="I11" s="75">
        <f>IF($D11="","",VLOOKUP($D11,'[1]m kvalifikacije žrebna lista'!$A$7:$R$38,14))</f>
        <v>10</v>
      </c>
      <c r="J11" s="76"/>
      <c r="K11" s="114"/>
      <c r="L11" s="106">
        <v>91</v>
      </c>
      <c r="M11" s="115"/>
      <c r="N11" s="115"/>
      <c r="O11" s="115"/>
      <c r="P11" s="116"/>
      <c r="Q11" s="81"/>
      <c r="R11" s="82"/>
      <c r="T11" s="97" t="str">
        <f>'[1]glavni sodniki'!P25</f>
        <v> </v>
      </c>
      <c r="U11" s="30">
        <f>IF($D11="","",VLOOKUP($D11,'[1]m kvalifikacije žrebna lista'!$A$7:$R$38,2))</f>
        <v>7488</v>
      </c>
      <c r="V11" s="56">
        <v>5</v>
      </c>
      <c r="W11" s="56" t="str">
        <f>UPPER(IF($D$15="","",VLOOKUP($D$15,'[1]m kvalifikacije žrebna lista'!$A$7:$R$38,3)))</f>
        <v>FRANK</v>
      </c>
      <c r="X11" s="56" t="str">
        <f>PROPER(IF($D$15="","",VLOOKUP($D$15,'[1]m kvalifikacije žrebna lista'!$A$7:$R$38,4)))</f>
        <v>Jure</v>
      </c>
      <c r="Y11" s="58">
        <f t="shared" si="0"/>
        <v>6</v>
      </c>
      <c r="Z11" s="87">
        <f>IF(W11="","",IF(AND($Q$62=1,$U$16=$U$15),3,IF(AND($Q$62=2,$U$16=$U$15),2,IF(AND($Q$62=3,$U$16=$U$15),1,""))))</f>
        <v>2</v>
      </c>
      <c r="AA11" s="87">
        <f>IF($W11="","",IF(AND($Q$62=1,$U$18=$U$16,$U$16=$U$15),3,IF(AND($Q$62=2,$U$18=$U$16,$U$16=$U$15),2,IF(AND($Q$62=3,$U$18=$U$16,$U$16=$U$15),1,""))))</f>
        <v>2</v>
      </c>
      <c r="AB11" s="58"/>
      <c r="AC11" s="58"/>
      <c r="AD11" s="58"/>
      <c r="AE11" s="88">
        <f t="shared" si="1"/>
        <v>10</v>
      </c>
      <c r="AF11" s="38"/>
    </row>
    <row r="12" spans="1:32" s="83" customFormat="1" ht="9" customHeight="1">
      <c r="A12" s="89"/>
      <c r="B12" s="90"/>
      <c r="C12" s="90"/>
      <c r="D12" s="109"/>
      <c r="E12" s="91"/>
      <c r="F12" s="91"/>
      <c r="G12" s="92"/>
      <c r="H12" s="93" t="s">
        <v>23</v>
      </c>
      <c r="I12" s="94" t="s">
        <v>26</v>
      </c>
      <c r="J12" s="95" t="str">
        <f>UPPER(IF(OR(I12="a",I12="as"),E11,IF(OR(I12="b",I12="bs"),E13,)))</f>
        <v>TRAJKOVSKI </v>
      </c>
      <c r="K12" s="117">
        <f>IF(OR(I12="a",I12="as"),I11,IF(OR(I12="b",I12="bs"),I13,))</f>
        <v>10</v>
      </c>
      <c r="L12" s="76"/>
      <c r="M12" s="115"/>
      <c r="N12" s="115"/>
      <c r="O12" s="115"/>
      <c r="P12" s="80"/>
      <c r="Q12" s="81"/>
      <c r="R12" s="82"/>
      <c r="T12" s="97" t="str">
        <f>'[1]glavni sodniki'!P26</f>
        <v> </v>
      </c>
      <c r="U12" s="30">
        <f>IF(OR(I12="a",I12="as"),C11,IF(OR(I12="b",I12="bs"),C13,""))</f>
        <v>8888</v>
      </c>
      <c r="V12" s="98">
        <v>6</v>
      </c>
      <c r="W12" s="98">
        <f>UPPER(IF($D$17="","",VLOOKUP($D$17,'[1]m kvalifikacije žrebna lista'!$A$7:$R$38,3)))</f>
      </c>
      <c r="X12" s="98">
        <f>PROPER(IF($D$17="","",VLOOKUP($D$17,'[1]m kvalifikacije žrebna lista'!$A$7:$R$38,4)))</f>
      </c>
      <c r="Y12" s="100">
        <f t="shared" si="0"/>
      </c>
      <c r="Z12" s="101">
        <f>IF(W12="","",IF(AND($Q$62=1,$U$16=$U$17),3,IF(AND($Q$62=2,$U$16=$U$17),2,IF(AND($Q$62=3,$U$16=$U$17),1,""))))</f>
      </c>
      <c r="AA12" s="101">
        <f>IF($W12="","",IF(AND($Q$62=1,$U$18=$U$16,$U$16=$U$17),3,IF(AND($Q$62=2,$U$18=$U$16,$U$16=$U$17),2,IF(AND($Q$62=3,$U$18=$U$16,$U$16=$U$17),1,""))))</f>
      </c>
      <c r="AB12" s="100"/>
      <c r="AC12" s="100"/>
      <c r="AD12" s="100"/>
      <c r="AE12" s="102">
        <f t="shared" si="1"/>
        <v>0</v>
      </c>
      <c r="AF12" s="38"/>
    </row>
    <row r="13" spans="1:32" s="83" customFormat="1" ht="9" customHeight="1">
      <c r="A13" s="89">
        <v>4</v>
      </c>
      <c r="B13" s="103" t="str">
        <f>UPPER(IF($D13="","",VLOOKUP($D13,'[1]m kvalifikacije žrebna lista'!$A$7:$R$38,17)))</f>
        <v>D</v>
      </c>
      <c r="C13" s="103">
        <f>(IF($D13="","",VLOOKUP($D13,'[1]m kvalifikacije žrebna lista'!$A$7:$R$38,2)))</f>
        <v>8888</v>
      </c>
      <c r="D13" s="74">
        <v>21</v>
      </c>
      <c r="E13" s="104" t="str">
        <f>UPPER(IF($D13="","",VLOOKUP($D13,'[1]m kvalifikacije žrebna lista'!$A$7:$R$38,3)))</f>
        <v>TRAJKOVSKI </v>
      </c>
      <c r="F13" s="104" t="str">
        <f>PROPER(IF($D13="","",VLOOKUP($D13,'[1]m kvalifikacije žrebna lista'!$A$7:$R$38,4)))</f>
        <v>Andrej</v>
      </c>
      <c r="G13" s="104"/>
      <c r="H13" s="104" t="str">
        <f>UPPER(IF($D13="","",VLOOKUP($D13,'[1]m kvalifikacije žrebna lista'!$A$7:$R$38,5)))</f>
        <v>SRB</v>
      </c>
      <c r="I13" s="118">
        <f>IF($D13="","",VLOOKUP($D13,'[1]m kvalifikacije žrebna lista'!$A$7:$R$38,14))</f>
        <v>10</v>
      </c>
      <c r="J13" s="106">
        <v>93</v>
      </c>
      <c r="K13" s="119"/>
      <c r="L13" s="76"/>
      <c r="M13" s="115"/>
      <c r="N13" s="115"/>
      <c r="O13" s="115"/>
      <c r="P13" s="80"/>
      <c r="Q13" s="81"/>
      <c r="R13" s="82"/>
      <c r="T13" s="97" t="str">
        <f>'[1]glavni sodniki'!P27</f>
        <v> </v>
      </c>
      <c r="U13" s="30">
        <f>IF($D13="","",VLOOKUP($D13,'[1]m kvalifikacije žrebna lista'!$A$7:$R$38,2))</f>
        <v>8888</v>
      </c>
      <c r="V13" s="56">
        <v>7</v>
      </c>
      <c r="W13" s="56" t="str">
        <f>UPPER(IF($D$19="","",VLOOKUP($D$19,'[1]m kvalifikacije žrebna lista'!$A$7:$R$38,3)))</f>
        <v>FERJAN</v>
      </c>
      <c r="X13" s="56" t="str">
        <f>PROPER(IF($D$19="","",VLOOKUP($D$19,'[1]m kvalifikacije žrebna lista'!$A$7:$R$38,4)))</f>
        <v>Nejc</v>
      </c>
      <c r="Y13" s="58">
        <f t="shared" si="0"/>
        <v>6</v>
      </c>
      <c r="Z13" s="87">
        <f>IF(W13="","",IF(AND($Q$62=1,$U$20=$U$19),3,IF(AND($Q$62=2,$U$20=$U$19),2,IF(AND($Q$62=3,$U$20=$U$19),1,""))))</f>
        <v>2</v>
      </c>
      <c r="AA13" s="87">
        <f>IF($W13="","",IF(AND($Q$62=1,$U$18=$U$20,$U$20=$U$19),3,IF(AND($Q$62=2,$U$18=$U$20,$U$20=$U$19),2,IF(AND($Q$62=3,$U$18=$U$20,$U$20=$U$19),1,""))))</f>
      </c>
      <c r="AB13" s="58"/>
      <c r="AC13" s="58"/>
      <c r="AD13" s="58"/>
      <c r="AE13" s="88">
        <f t="shared" si="1"/>
        <v>8</v>
      </c>
      <c r="AF13" s="38"/>
    </row>
    <row r="14" spans="1:32" s="83" customFormat="1" ht="9" customHeight="1">
      <c r="A14" s="89"/>
      <c r="B14" s="90"/>
      <c r="C14" s="90"/>
      <c r="D14" s="109"/>
      <c r="E14" s="76"/>
      <c r="F14" s="76"/>
      <c r="G14" s="120"/>
      <c r="H14" s="121"/>
      <c r="I14" s="110"/>
      <c r="J14" s="76"/>
      <c r="K14" s="119"/>
      <c r="L14" s="93"/>
      <c r="M14" s="122"/>
      <c r="N14" s="123"/>
      <c r="O14" s="115"/>
      <c r="P14" s="80"/>
      <c r="Q14" s="81"/>
      <c r="R14" s="82"/>
      <c r="T14" s="97" t="str">
        <f>'[1]glavni sodniki'!P28</f>
        <v> </v>
      </c>
      <c r="U14" s="30"/>
      <c r="V14" s="98">
        <v>8</v>
      </c>
      <c r="W14" s="98" t="str">
        <f>UPPER(IF($D$21="","",VLOOKUP($D$21,'[1]m kvalifikacije žrebna lista'!$A$7:$R$38,3)))</f>
        <v>MILEUSNIČ</v>
      </c>
      <c r="X14" s="98" t="str">
        <f>PROPER(IF($D$21="","",VLOOKUP($D$21,'[1]m kvalifikacije žrebna lista'!$A$7:$R$38,4)))</f>
        <v>Gregor</v>
      </c>
      <c r="Y14" s="100">
        <f t="shared" si="0"/>
        <v>6</v>
      </c>
      <c r="Z14" s="101">
        <f>IF(W14="","",IF(AND($Q$62=1,$U$20=$U$21),3,IF(AND($Q$62=2,$U$20=$U$21),2,IF(AND($Q$62=3,$U$20=$U$21),1,""))))</f>
      </c>
      <c r="AA14" s="101">
        <f>IF($W14="","",IF(AND($Q$62=1,$U$18=$U$20,$U$20=$U$21),3,IF(AND($Q$62=2,$U$18=$U$20,$U$20=$U$21),2,IF(AND($Q$62=3,$U$18=$U$20,$U$20=$U$21),1,""))))</f>
      </c>
      <c r="AB14" s="100"/>
      <c r="AC14" s="100"/>
      <c r="AD14" s="100"/>
      <c r="AE14" s="102">
        <f t="shared" si="1"/>
        <v>6</v>
      </c>
      <c r="AF14" s="38"/>
    </row>
    <row r="15" spans="1:32" s="83" customFormat="1" ht="9" customHeight="1">
      <c r="A15" s="72">
        <v>5</v>
      </c>
      <c r="B15" s="73" t="str">
        <f>UPPER(IF($D15="","",VLOOKUP($D15,'[1]m kvalifikacije žrebna lista'!$A$7:$R$38,17)))</f>
        <v>D</v>
      </c>
      <c r="C15" s="73">
        <f>(IF($D15="","",VLOOKUP($D15,'[1]m kvalifikacije žrebna lista'!$A$7:$R$38,2)))</f>
        <v>6470</v>
      </c>
      <c r="D15" s="74">
        <v>2</v>
      </c>
      <c r="E15" s="73" t="str">
        <f>UPPER(IF($D15="","",VLOOKUP($D15,'[1]m kvalifikacije žrebna lista'!$A$7:$R$38,3)))</f>
        <v>FRANK</v>
      </c>
      <c r="F15" s="73" t="str">
        <f>PROPER(IF($D15="","",VLOOKUP($D15,'[1]m kvalifikacije žrebna lista'!$A$7:$R$38,4)))</f>
        <v>Jure</v>
      </c>
      <c r="G15" s="73"/>
      <c r="H15" s="73" t="str">
        <f>UPPER(IF($D15="","",VLOOKUP($D15,'[1]m kvalifikacije žrebna lista'!$A$7:$R$38,5)))</f>
        <v>ŽTKMB</v>
      </c>
      <c r="I15" s="124">
        <f>IF($D15="","",VLOOKUP($D15,'[1]m kvalifikacije žrebna lista'!$A$7:$R$38,14))</f>
        <v>10</v>
      </c>
      <c r="J15" s="76"/>
      <c r="K15" s="119"/>
      <c r="L15" s="76"/>
      <c r="M15" s="115"/>
      <c r="N15" s="123"/>
      <c r="O15" s="115"/>
      <c r="P15" s="80"/>
      <c r="Q15" s="81"/>
      <c r="R15" s="82"/>
      <c r="T15" s="97" t="str">
        <f>'[1]glavni sodniki'!P29</f>
        <v> </v>
      </c>
      <c r="U15" s="30">
        <f>IF($D15="","",VLOOKUP($D15,'[1]m kvalifikacije žrebna lista'!$A$7:$R$38,2))</f>
        <v>6470</v>
      </c>
      <c r="V15" s="56">
        <v>9</v>
      </c>
      <c r="W15" s="56" t="str">
        <f>UPPER(IF($D$23="","",VLOOKUP($D$23,'[1]m kvalifikacije žrebna lista'!$A$7:$R$38,3)))</f>
        <v>ŽMAVC</v>
      </c>
      <c r="X15" s="56" t="str">
        <f>PROPER(IF($D$23="","",VLOOKUP($D$23,'[1]m kvalifikacije žrebna lista'!$A$7:$R$38,4)))</f>
        <v>Žan</v>
      </c>
      <c r="Y15" s="58">
        <f t="shared" si="0"/>
        <v>6</v>
      </c>
      <c r="Z15" s="87">
        <f>IF(W15="","",IF(AND($Q$62=1,$U$24=$U$23),3,IF(AND($Q$62=2,$U$24=$U$23),2,IF(AND($Q$62=3,$U$24=$U$23),1,""))))</f>
        <v>2</v>
      </c>
      <c r="AA15" s="87">
        <f>IF($W15="","",IF(AND($Q$62=1,$U$26=$U$24,$U$24=$U$23),3,IF(AND($Q$62=2,$U$26=$U$24,$U$24=$U$23),2,IF(AND($Q$62=3,$U$26=$U$24,$U$24=$U$23),1,""))))</f>
        <v>2</v>
      </c>
      <c r="AB15" s="58"/>
      <c r="AC15" s="58"/>
      <c r="AD15" s="58"/>
      <c r="AE15" s="88">
        <f t="shared" si="1"/>
        <v>10</v>
      </c>
      <c r="AF15" s="38"/>
    </row>
    <row r="16" spans="1:32" s="83" customFormat="1" ht="9" customHeight="1" thickBot="1">
      <c r="A16" s="89"/>
      <c r="B16" s="90"/>
      <c r="C16" s="90"/>
      <c r="D16" s="109"/>
      <c r="E16" s="91"/>
      <c r="F16" s="91"/>
      <c r="G16" s="92"/>
      <c r="H16" s="93" t="s">
        <v>23</v>
      </c>
      <c r="I16" s="94" t="s">
        <v>24</v>
      </c>
      <c r="J16" s="95" t="str">
        <f>UPPER(IF(OR(I16="a",I16="as"),E15,IF(OR(I16="b",I16="bs"),E17,)))</f>
        <v>FRANK</v>
      </c>
      <c r="K16" s="96">
        <f>IF(OR(I16="a",I16="as"),I15,IF(OR(I16="b",I16="bs"),I17,))</f>
        <v>10</v>
      </c>
      <c r="L16" s="76"/>
      <c r="M16" s="115"/>
      <c r="N16" s="115"/>
      <c r="O16" s="115"/>
      <c r="P16" s="80"/>
      <c r="Q16" s="81"/>
      <c r="R16" s="82"/>
      <c r="T16" s="125" t="str">
        <f>'[1]glavni sodniki'!P30</f>
        <v>Brez sodnika</v>
      </c>
      <c r="U16" s="30">
        <f>IF(OR(I16="a",I16="as"),C15,IF(OR(I16="b",I16="bs"),C17,""))</f>
        <v>6470</v>
      </c>
      <c r="V16" s="98">
        <v>10</v>
      </c>
      <c r="W16" s="98">
        <f>UPPER(IF($D$25="","",VLOOKUP($D$25,'[1]m kvalifikacije žrebna lista'!$A$7:$R$38,3)))</f>
      </c>
      <c r="X16" s="98">
        <f>PROPER(IF($D$25="","",VLOOKUP($D$25,'[1]m kvalifikacije žrebna lista'!$A$7:$R$38,4)))</f>
      </c>
      <c r="Y16" s="100">
        <f t="shared" si="0"/>
      </c>
      <c r="Z16" s="101">
        <f>IF(W16="","",IF(AND($Q$62=1,$U$24=$U$25),3,IF(AND($Q$62=2,$U$24=$U$25),2,IF(AND($Q$62=3,$U$24=$U$25),1,""))))</f>
      </c>
      <c r="AA16" s="101">
        <f>IF($W16="","",IF(AND($Q$62=1,$U$26=$U$24,$U$24=$U$25),3,IF(AND($Q$62=2,$U$26=$U$24,$U$24=$U$25),2,IF(AND($Q$62=3,$U$26=$U$24,$U$24=$U$25),1,""))))</f>
      </c>
      <c r="AB16" s="100"/>
      <c r="AC16" s="100"/>
      <c r="AD16" s="100"/>
      <c r="AE16" s="102">
        <f t="shared" si="1"/>
        <v>0</v>
      </c>
      <c r="AF16" s="38"/>
    </row>
    <row r="17" spans="1:32" s="83" customFormat="1" ht="9" customHeight="1">
      <c r="A17" s="89">
        <v>6</v>
      </c>
      <c r="B17" s="103">
        <f>UPPER(IF($D17="","",VLOOKUP($D17,'[1]m kvalifikacije žrebna lista'!$A$7:$R$38,17)))</f>
      </c>
      <c r="C17" s="103">
        <f>(IF($D17="","",VLOOKUP($D17,'[1]m kvalifikacije žrebna lista'!$A$7:$R$38,2)))</f>
      </c>
      <c r="D17" s="74"/>
      <c r="E17" s="104" t="s">
        <v>25</v>
      </c>
      <c r="F17" s="104">
        <f>PROPER(IF($D17="","",VLOOKUP($D17,'[1]m kvalifikacije žrebna lista'!$A$7:$R$38,4)))</f>
      </c>
      <c r="G17" s="104"/>
      <c r="H17" s="104">
        <f>UPPER(IF($D17="","",VLOOKUP($D17,'[1]m kvalifikacije žrebna lista'!$A$7:$R$38,5)))</f>
      </c>
      <c r="I17" s="105">
        <f>IF($D17="","",VLOOKUP($D17,'[1]m kvalifikacije žrebna lista'!$A$7:$R$38,14))</f>
      </c>
      <c r="J17" s="106"/>
      <c r="K17" s="107"/>
      <c r="L17" s="76"/>
      <c r="M17" s="115"/>
      <c r="N17" s="115"/>
      <c r="O17" s="115"/>
      <c r="P17" s="80"/>
      <c r="Q17" s="81"/>
      <c r="R17" s="82"/>
      <c r="U17" s="30">
        <f>IF($D17="","",VLOOKUP($D17,'[1]m kvalifikacije žrebna lista'!$A$7:$R$38,2))</f>
      </c>
      <c r="V17" s="56">
        <v>11</v>
      </c>
      <c r="W17" s="56" t="str">
        <f>UPPER(IF($D$27="","",VLOOKUP($D$27,'[1]m kvalifikacije žrebna lista'!$A$7:$R$38,3)))</f>
        <v>REBEC</v>
      </c>
      <c r="X17" s="56" t="str">
        <f>PROPER(IF($D$27="","",VLOOKUP($D$27,'[1]m kvalifikacije žrebna lista'!$A$7:$R$38,4)))</f>
        <v>Nik</v>
      </c>
      <c r="Y17" s="58">
        <f t="shared" si="0"/>
        <v>6</v>
      </c>
      <c r="Z17" s="87">
        <f>IF(W17="","",IF(AND($Q$62=1,$U$28=$U$27),3,IF(AND($Q$62=2,$U$28=$U$27),2,IF(AND($Q$62=3,$U$28=$U$27),1,""))))</f>
      </c>
      <c r="AA17" s="87">
        <f>IF($W17="","",IF(AND($Q$62=1,$U$26=$U$28,$U$28=$U$27),3,IF(AND($Q$62=2,$U$26=$U$28,$U$28=$U$27),2,IF(AND($Q$62=3,$U$26=$U$28,$U$28=$U$27),1,""))))</f>
      </c>
      <c r="AB17" s="58"/>
      <c r="AC17" s="58"/>
      <c r="AD17" s="58"/>
      <c r="AE17" s="88">
        <f t="shared" si="1"/>
        <v>6</v>
      </c>
      <c r="AF17" s="38"/>
    </row>
    <row r="18" spans="1:32" s="83" customFormat="1" ht="9" customHeight="1">
      <c r="A18" s="89"/>
      <c r="B18" s="90"/>
      <c r="C18" s="90"/>
      <c r="D18" s="109"/>
      <c r="E18" s="91"/>
      <c r="F18" s="91"/>
      <c r="G18" s="92"/>
      <c r="H18" s="76"/>
      <c r="I18" s="110"/>
      <c r="J18" s="93" t="s">
        <v>23</v>
      </c>
      <c r="K18" s="111" t="s">
        <v>24</v>
      </c>
      <c r="L18" s="95" t="str">
        <f>UPPER(IF(OR(K18="a",K18="as"),J16,IF(OR(K18="b",K18="bs"),J20,)))</f>
        <v>FRANK</v>
      </c>
      <c r="M18" s="112"/>
      <c r="N18" s="113"/>
      <c r="O18" s="115"/>
      <c r="P18" s="80"/>
      <c r="Q18" s="81"/>
      <c r="R18" s="82"/>
      <c r="U18" s="30">
        <f>IF(OR(K18="a",K18="as"),$U$16,IF(OR(K18="b",K18="bs"),U20,""))</f>
        <v>6470</v>
      </c>
      <c r="V18" s="98">
        <v>12</v>
      </c>
      <c r="W18" s="98" t="str">
        <f>UPPER(IF($D$29="","",VLOOKUP($D$29,'[1]m kvalifikacije žrebna lista'!$A$7:$R$38,3)))</f>
        <v>POGLAJEN</v>
      </c>
      <c r="X18" s="98" t="str">
        <f>PROPER(IF($D$29="","",VLOOKUP($D$29,'[1]m kvalifikacije žrebna lista'!$A$7:$R$38,4)))</f>
        <v>Nik</v>
      </c>
      <c r="Y18" s="100">
        <f t="shared" si="0"/>
        <v>6</v>
      </c>
      <c r="Z18" s="101">
        <f>IF(W18="","",IF(AND($Q$62=1,$U$28=$U$29),3,IF(AND($Q$62=2,$U$28=$U$29),2,IF(AND($Q$62=3,$U$28=$U$29),1,""))))</f>
        <v>2</v>
      </c>
      <c r="AA18" s="101">
        <f>IF($W18="","",IF(AND($Q$62=1,$U$26=$U$28,$U$28=$U$29),3,IF(AND($Q$62=2,$U$26=$U$28,$U$28=$U$29),2,IF(AND($Q$62=3,$U$26=$U$28,$U$28=$U$29),1,""))))</f>
      </c>
      <c r="AB18" s="100"/>
      <c r="AC18" s="100"/>
      <c r="AD18" s="100"/>
      <c r="AE18" s="102">
        <f t="shared" si="1"/>
        <v>8</v>
      </c>
      <c r="AF18" s="38"/>
    </row>
    <row r="19" spans="1:32" s="83" customFormat="1" ht="9" customHeight="1">
      <c r="A19" s="89">
        <v>7</v>
      </c>
      <c r="B19" s="103" t="str">
        <f>UPPER(IF($D19="","",VLOOKUP($D19,'[1]m kvalifikacije žrebna lista'!$A$7:$R$38,17)))</f>
        <v>D</v>
      </c>
      <c r="C19" s="103">
        <f>(IF($D19="","",VLOOKUP($D19,'[1]m kvalifikacije žrebna lista'!$A$7:$R$38,2)))</f>
        <v>6902</v>
      </c>
      <c r="D19" s="74">
        <v>9</v>
      </c>
      <c r="E19" s="104" t="str">
        <f>UPPER(IF($D19="","",VLOOKUP($D19,'[1]m kvalifikacije žrebna lista'!$A$7:$R$38,3)))</f>
        <v>FERJAN</v>
      </c>
      <c r="F19" s="104" t="str">
        <f>PROPER(IF($D19="","",VLOOKUP($D19,'[1]m kvalifikacije žrebna lista'!$A$7:$R$38,4)))</f>
        <v>Nejc</v>
      </c>
      <c r="G19" s="104"/>
      <c r="H19" s="104" t="str">
        <f>UPPER(IF($D19="","",VLOOKUP($D19,'[1]m kvalifikacije žrebna lista'!$A$7:$R$38,5)))</f>
        <v>TR-KR</v>
      </c>
      <c r="I19" s="75">
        <f>IF($D19="","",VLOOKUP($D19,'[1]m kvalifikacije žrebna lista'!$A$7:$R$38,14))</f>
        <v>10</v>
      </c>
      <c r="J19" s="76"/>
      <c r="K19" s="114"/>
      <c r="L19" s="106">
        <v>94</v>
      </c>
      <c r="M19" s="113"/>
      <c r="N19" s="113"/>
      <c r="O19" s="113"/>
      <c r="P19" s="80"/>
      <c r="Q19" s="81"/>
      <c r="R19" s="82"/>
      <c r="U19" s="30">
        <f>IF($D19="","",VLOOKUP($D19,'[1]m kvalifikacije žrebna lista'!$A$7:$R$38,2))</f>
        <v>6902</v>
      </c>
      <c r="V19" s="56">
        <v>13</v>
      </c>
      <c r="W19" s="56" t="str">
        <f>UPPER(IF($D$31="","",VLOOKUP($D$31,'[1]m kvalifikacije žrebna lista'!$A$7:$R$38,3)))</f>
        <v>NIKOLAŠ</v>
      </c>
      <c r="X19" s="56" t="str">
        <f>PROPER(IF($D$31="","",VLOOKUP($D$31,'[1]m kvalifikacije žrebna lista'!$A$7:$R$38,4)))</f>
        <v>Klemen</v>
      </c>
      <c r="Y19" s="58">
        <f t="shared" si="0"/>
        <v>6</v>
      </c>
      <c r="Z19" s="87">
        <f>IF(W19="","",IF(AND($Q$62=1,$U$32=$U$31),3,IF(AND($Q$62=2,$U$32=$U$31),2,IF(AND($Q$62=3,$U$32=$U$31),1,""))))</f>
        <v>2</v>
      </c>
      <c r="AA19" s="87">
        <f>IF($W19="","",IF(AND($Q$62=1,$U$34=$U$32,$U$32=$U$31),3,IF(AND($Q$62=2,$U$34=$U$32,$U$32=$U$31),2,IF(AND($Q$62=3,$U$34=$U$32,$U$32=$U$31),1,""))))</f>
      </c>
      <c r="AB19" s="58"/>
      <c r="AC19" s="58"/>
      <c r="AD19" s="58"/>
      <c r="AE19" s="88">
        <f t="shared" si="1"/>
        <v>8</v>
      </c>
      <c r="AF19" s="38"/>
    </row>
    <row r="20" spans="1:32" s="83" customFormat="1" ht="9" customHeight="1">
      <c r="A20" s="89"/>
      <c r="B20" s="90"/>
      <c r="C20" s="90"/>
      <c r="D20" s="90"/>
      <c r="E20" s="91"/>
      <c r="F20" s="91"/>
      <c r="G20" s="92"/>
      <c r="H20" s="93" t="s">
        <v>23</v>
      </c>
      <c r="I20" s="94" t="s">
        <v>27</v>
      </c>
      <c r="J20" s="95" t="str">
        <f>UPPER(IF(OR(I20="a",I20="as"),E19,IF(OR(I20="b",I20="bs"),E21,)))</f>
        <v>FERJAN</v>
      </c>
      <c r="K20" s="117">
        <f>IF(OR(I20="a",I20="as"),I19,IF(OR(I20="b",I20="bs"),I21,))</f>
        <v>10</v>
      </c>
      <c r="L20" s="76"/>
      <c r="M20" s="113"/>
      <c r="N20" s="113"/>
      <c r="O20" s="113"/>
      <c r="P20" s="80"/>
      <c r="Q20" s="81"/>
      <c r="R20" s="82"/>
      <c r="U20" s="30">
        <f>IF(OR(I20="a",I20="as"),C19,IF(OR(I20="b",I20="bs"),C21,""))</f>
        <v>6902</v>
      </c>
      <c r="V20" s="98">
        <v>14</v>
      </c>
      <c r="W20" s="98">
        <f>UPPER(IF($D$33="","",VLOOKUP($D$33,'[1]m kvalifikacije žrebna lista'!$A$7:$R$38,3)))</f>
      </c>
      <c r="X20" s="98">
        <f>PROPER(IF($D$33="","",VLOOKUP($D$33,'[1]m kvalifikacije žrebna lista'!$A$7:$R$38,4)))</f>
      </c>
      <c r="Y20" s="100">
        <f t="shared" si="0"/>
      </c>
      <c r="Z20" s="101">
        <f>IF(W20="","",IF(AND($Q$62=1,$U$32=$U$33),3,IF(AND($Q$62=2,$U$32=$U$33),2,IF(AND($Q$62=3,$U$32=$U$33),1,""))))</f>
      </c>
      <c r="AA20" s="101">
        <f>IF($W20="","",IF(AND($Q$62=1,$U$34=$U$32,$U$32=$U$33),3,IF(AND($Q$62=2,$U$34=$U$32,$U$32=$U$33),2,IF(AND($Q$62=3,$U$34=$U$32,$U$32=$U$33),1,""))))</f>
      </c>
      <c r="AB20" s="100"/>
      <c r="AC20" s="100"/>
      <c r="AD20" s="100"/>
      <c r="AE20" s="102">
        <f t="shared" si="1"/>
        <v>0</v>
      </c>
      <c r="AF20" s="38"/>
    </row>
    <row r="21" spans="1:32" s="83" customFormat="1" ht="9" customHeight="1">
      <c r="A21" s="89">
        <v>8</v>
      </c>
      <c r="B21" s="103" t="str">
        <f>UPPER(IF($D21="","",VLOOKUP($D21,'[1]m kvalifikacije žrebna lista'!$A$7:$R$38,17)))</f>
        <v>D</v>
      </c>
      <c r="C21" s="103">
        <f>(IF($D21="","",VLOOKUP($D21,'[1]m kvalifikacije žrebna lista'!$A$7:$R$38,2)))</f>
        <v>7727</v>
      </c>
      <c r="D21" s="74">
        <v>16</v>
      </c>
      <c r="E21" s="104" t="str">
        <f>UPPER(IF($D21="","",VLOOKUP($D21,'[1]m kvalifikacije žrebna lista'!$A$7:$R$38,3)))</f>
        <v>MILEUSNIČ</v>
      </c>
      <c r="F21" s="104" t="str">
        <f>PROPER(IF($D21="","",VLOOKUP($D21,'[1]m kvalifikacije žrebna lista'!$A$7:$R$38,4)))</f>
        <v>Gregor</v>
      </c>
      <c r="G21" s="73"/>
      <c r="H21" s="104" t="str">
        <f>UPPER(IF($D21="","",VLOOKUP($D21,'[1]m kvalifikacije žrebna lista'!$A$7:$R$38,5)))</f>
        <v>KOPER</v>
      </c>
      <c r="I21" s="118">
        <f>IF($D21="","",VLOOKUP($D21,'[1]m kvalifikacije žrebna lista'!$A$7:$R$38,14))</f>
        <v>10</v>
      </c>
      <c r="J21" s="106">
        <v>90</v>
      </c>
      <c r="K21" s="119"/>
      <c r="L21" s="76"/>
      <c r="M21" s="113"/>
      <c r="N21" s="113"/>
      <c r="O21" s="113"/>
      <c r="P21" s="80"/>
      <c r="Q21" s="81"/>
      <c r="R21" s="82"/>
      <c r="U21" s="30">
        <f>IF($D21="","",VLOOKUP($D21,'[1]m kvalifikacije žrebna lista'!$A$7:$R$38,2))</f>
        <v>7727</v>
      </c>
      <c r="V21" s="56">
        <v>15</v>
      </c>
      <c r="W21" s="56" t="str">
        <f>UPPER(IF($D$35="","",VLOOKUP($D$35,'[1]m kvalifikacije žrebna lista'!$A$7:$R$38,3)))</f>
        <v>RADIŠIČ</v>
      </c>
      <c r="X21" s="56" t="str">
        <f>PROPER(IF($D$35="","",VLOOKUP($D$35,'[1]m kvalifikacije žrebna lista'!$A$7:$R$38,4)))</f>
        <v>Luka</v>
      </c>
      <c r="Y21" s="58">
        <f t="shared" si="0"/>
        <v>6</v>
      </c>
      <c r="Z21" s="87">
        <f>IF(W21="","",IF(AND($Q$62=1,$U$36=$U$35),3,IF(AND($Q$62=2,$U$36=$U$35),2,IF(AND($Q$62=3,$U$36=$U$35),1,""))))</f>
      </c>
      <c r="AA21" s="87">
        <f>IF($W21="","",IF(AND($Q$62=1,$U$34=$U$36,$U$36=$U$35),3,IF(AND($Q$62=2,$U$34=$U$36,$U$36=$U$35),2,IF(AND($Q$62=3,$U$34=$U$36,$U$36=$U$35),1,""))))</f>
      </c>
      <c r="AB21" s="58"/>
      <c r="AC21" s="58"/>
      <c r="AD21" s="58"/>
      <c r="AE21" s="88">
        <f t="shared" si="1"/>
        <v>6</v>
      </c>
      <c r="AF21" s="38"/>
    </row>
    <row r="22" spans="1:32" s="83" customFormat="1" ht="9" customHeight="1">
      <c r="A22" s="89"/>
      <c r="B22" s="90"/>
      <c r="C22" s="90"/>
      <c r="D22" s="90"/>
      <c r="E22" s="121"/>
      <c r="F22" s="121"/>
      <c r="G22" s="126"/>
      <c r="H22" s="121"/>
      <c r="I22" s="110"/>
      <c r="J22" s="76"/>
      <c r="K22" s="119"/>
      <c r="L22" s="76"/>
      <c r="M22" s="113"/>
      <c r="N22" s="113"/>
      <c r="O22" s="113"/>
      <c r="P22" s="80"/>
      <c r="Q22" s="81"/>
      <c r="R22" s="82"/>
      <c r="U22" s="30"/>
      <c r="V22" s="98">
        <v>16</v>
      </c>
      <c r="W22" s="98" t="str">
        <f>UPPER(IF($D$37="","",VLOOKUP($D$37,'[1]m kvalifikacije žrebna lista'!$A$7:$R$38,3)))</f>
        <v>ČUK</v>
      </c>
      <c r="X22" s="98" t="str">
        <f>PROPER(IF($D$37="","",VLOOKUP($D$37,'[1]m kvalifikacije žrebna lista'!$A$7:$R$38,4)))</f>
        <v>Mark</v>
      </c>
      <c r="Y22" s="100">
        <f t="shared" si="0"/>
        <v>6</v>
      </c>
      <c r="Z22" s="101">
        <f>IF(W22="","",IF(AND($Q$62=1,$U$36=$U$37),3,IF(AND($Q$62=2,$U$36=$U$37),2,IF(AND($Q$62=3,$U$36=$U$37),1,""))))</f>
        <v>2</v>
      </c>
      <c r="AA22" s="101">
        <f>IF($W22="","",IF(AND($Q$62=1,$U$34=$U$36,$U$36=$U$37),3,IF(AND($Q$62=2,$U$34=$U$36,$U$36=$U$37),2,IF(AND($Q$62=3,$U$34=$U$36,$U$36=$U$37),1,""))))</f>
        <v>2</v>
      </c>
      <c r="AB22" s="100"/>
      <c r="AC22" s="100"/>
      <c r="AD22" s="100"/>
      <c r="AE22" s="102">
        <f t="shared" si="1"/>
        <v>10</v>
      </c>
      <c r="AF22" s="38"/>
    </row>
    <row r="23" spans="1:32" s="83" customFormat="1" ht="9" customHeight="1">
      <c r="A23" s="72">
        <v>9</v>
      </c>
      <c r="B23" s="73" t="str">
        <f>UPPER(IF($D23="","",VLOOKUP($D23,'[1]m kvalifikacije žrebna lista'!$A$7:$R$38,17)))</f>
        <v>D</v>
      </c>
      <c r="C23" s="73">
        <f>(IF($D23="","",VLOOKUP($D23,'[1]m kvalifikacije žrebna lista'!$A$7:$R$38,2)))</f>
        <v>6509</v>
      </c>
      <c r="D23" s="74">
        <v>3</v>
      </c>
      <c r="E23" s="73" t="str">
        <f>UPPER(IF($D23="","",VLOOKUP($D23,'[1]m kvalifikacije žrebna lista'!$A$7:$R$38,3)))</f>
        <v>ŽMAVC</v>
      </c>
      <c r="F23" s="73" t="str">
        <f>PROPER(IF($D23="","",VLOOKUP($D23,'[1]m kvalifikacije žrebna lista'!$A$7:$R$38,4)))</f>
        <v>Žan</v>
      </c>
      <c r="G23" s="73"/>
      <c r="H23" s="73" t="str">
        <f>UPPER(IF($D23="","",VLOOKUP($D23,'[1]m kvalifikacije žrebna lista'!$A$7:$R$38,5)))</f>
        <v>TR-KR</v>
      </c>
      <c r="I23" s="75">
        <f>IF($D23="","",VLOOKUP($D23,'[1]m kvalifikacije žrebna lista'!$A$7:$R$38,14))</f>
        <v>10</v>
      </c>
      <c r="J23" s="76"/>
      <c r="K23" s="119"/>
      <c r="L23" s="76"/>
      <c r="M23" s="113"/>
      <c r="N23" s="113"/>
      <c r="O23" s="113"/>
      <c r="P23" s="80"/>
      <c r="Q23" s="81"/>
      <c r="R23" s="82"/>
      <c r="U23" s="30">
        <f>IF($D23="","",VLOOKUP($D23,'[1]m kvalifikacije žrebna lista'!$A$7:$R$38,2))</f>
        <v>6509</v>
      </c>
      <c r="V23" s="56">
        <v>17</v>
      </c>
      <c r="W23" s="56" t="str">
        <f>UPPER(IF($D$39="","",VLOOKUP($D$39,'[1]m kvalifikacije žrebna lista'!$A$7:$R$38,3)))</f>
        <v>DROBNIČ</v>
      </c>
      <c r="X23" s="56" t="str">
        <f>PROPER(IF($D$39="","",VLOOKUP($D$39,'[1]m kvalifikacije žrebna lista'!$A$7:$R$38,4)))</f>
        <v>Žiga</v>
      </c>
      <c r="Y23" s="58">
        <f t="shared" si="0"/>
        <v>6</v>
      </c>
      <c r="Z23" s="87">
        <f>IF(W23="","",IF(AND($Q$62=1,$U$40=$U$39),3,IF(AND($Q$62=2,$U$40=$U$39),2,IF(AND($Q$62=3,$U$40=$U$39),1,""))))</f>
        <v>2</v>
      </c>
      <c r="AA23" s="87">
        <f>IF($W23="","",IF(AND($Q$62=1,$U$42=$U$40,$U$40=$U$39),3,IF(AND($Q$62=2,$U$42=$U$40,$U$40=$U$39),2,IF(AND($Q$62=3,$U$42=$U$40,$U$40=$U$39),1,""))))</f>
        <v>2</v>
      </c>
      <c r="AB23" s="58"/>
      <c r="AC23" s="58"/>
      <c r="AD23" s="58"/>
      <c r="AE23" s="88">
        <f t="shared" si="1"/>
        <v>10</v>
      </c>
      <c r="AF23" s="38"/>
    </row>
    <row r="24" spans="1:32" s="83" customFormat="1" ht="9" customHeight="1">
      <c r="A24" s="89"/>
      <c r="B24" s="90"/>
      <c r="C24" s="90"/>
      <c r="D24" s="90"/>
      <c r="E24" s="91"/>
      <c r="F24" s="91"/>
      <c r="G24" s="92"/>
      <c r="H24" s="93" t="s">
        <v>23</v>
      </c>
      <c r="I24" s="94" t="s">
        <v>24</v>
      </c>
      <c r="J24" s="95" t="str">
        <f>UPPER(IF(OR(I24="a",I24="as"),E23,IF(OR(I24="b",I24="bs"),E25,)))</f>
        <v>ŽMAVC</v>
      </c>
      <c r="K24" s="96">
        <f>IF(OR(I24="a",I24="as"),I23,IF(OR(I24="b",I24="bs"),I25,))</f>
        <v>10</v>
      </c>
      <c r="L24" s="76"/>
      <c r="M24" s="113"/>
      <c r="N24" s="113"/>
      <c r="O24" s="113"/>
      <c r="P24" s="80"/>
      <c r="Q24" s="81"/>
      <c r="R24" s="82"/>
      <c r="U24" s="30">
        <f>IF(OR(I24="a",I24="as"),C23,IF(OR(I24="b",I24="bs"),C25,""))</f>
        <v>6509</v>
      </c>
      <c r="V24" s="98">
        <v>18</v>
      </c>
      <c r="W24" s="98">
        <f>UPPER(IF($D$41="","",VLOOKUP($D$41,'[1]m kvalifikacije žrebna lista'!$A$7:$R$38,3)))</f>
      </c>
      <c r="X24" s="98">
        <f>PROPER(IF($D$41="","",VLOOKUP($D$41,'[1]m kvalifikacije žrebna lista'!$A$7:$R$38,4)))</f>
      </c>
      <c r="Y24" s="100">
        <f t="shared" si="0"/>
      </c>
      <c r="Z24" s="101">
        <f>IF(W24="","",IF(AND($Q$62=1,$U$40=$U$41),3,IF(AND($Q$62=2,$U$40=$U$41),2,IF(AND($Q$62=3,$U$40=$U$41),1,""))))</f>
      </c>
      <c r="AA24" s="101">
        <f>IF($W24="","",IF(AND($Q$62=1,$U$42=$U$40,$U$40=$U$41),3,IF(AND($Q$62=2,$U$42=$U$40,$U$40=$U$41),2,IF(AND($Q$62=3,$U$42=$U$40,$U$40=$U$41),1,""))))</f>
      </c>
      <c r="AB24" s="100"/>
      <c r="AC24" s="100"/>
      <c r="AD24" s="100"/>
      <c r="AE24" s="102">
        <f t="shared" si="1"/>
        <v>0</v>
      </c>
      <c r="AF24" s="38"/>
    </row>
    <row r="25" spans="1:32" s="83" customFormat="1" ht="9" customHeight="1">
      <c r="A25" s="89">
        <v>10</v>
      </c>
      <c r="B25" s="103">
        <f>UPPER(IF($D25="","",VLOOKUP($D25,'[1]m kvalifikacije žrebna lista'!$A$7:$R$38,17)))</f>
      </c>
      <c r="C25" s="103">
        <f>(IF($D25="","",VLOOKUP($D25,'[1]m kvalifikacije žrebna lista'!$A$7:$R$38,2)))</f>
      </c>
      <c r="D25" s="74"/>
      <c r="E25" s="104" t="s">
        <v>25</v>
      </c>
      <c r="F25" s="104">
        <f>PROPER(IF($D25="","",VLOOKUP($D25,'[1]m kvalifikacije žrebna lista'!$A$7:$R$38,4)))</f>
      </c>
      <c r="G25" s="104"/>
      <c r="H25" s="104">
        <f>UPPER(IF($D25="","",VLOOKUP($D25,'[1]m kvalifikacije žrebna lista'!$A$7:$R$38,5)))</f>
      </c>
      <c r="I25" s="105">
        <f>IF($D25="","",VLOOKUP($D25,'[1]m kvalifikacije žrebna lista'!$A$7:$R$38,14))</f>
      </c>
      <c r="J25" s="106"/>
      <c r="K25" s="107"/>
      <c r="L25" s="76"/>
      <c r="M25" s="113"/>
      <c r="N25" s="113"/>
      <c r="O25" s="113"/>
      <c r="P25" s="80"/>
      <c r="Q25" s="81"/>
      <c r="R25" s="82"/>
      <c r="U25" s="30">
        <f>IF($D25="","",VLOOKUP($D25,'[1]m kvalifikacije žrebna lista'!$A$7:$R$38,2))</f>
      </c>
      <c r="V25" s="56">
        <v>19</v>
      </c>
      <c r="W25" s="56" t="str">
        <f>UPPER(IF($D$43="","",VLOOKUP($D$43,'[1]m kvalifikacije žrebna lista'!$A$7:$R$38,3)))</f>
        <v>ŽIDAN</v>
      </c>
      <c r="X25" s="56" t="str">
        <f>PROPER(IF($D$43="","",VLOOKUP($D$43,'[1]m kvalifikacije žrebna lista'!$A$7:$R$38,4)))</f>
        <v>Emil</v>
      </c>
      <c r="Y25" s="58">
        <f t="shared" si="0"/>
        <v>6</v>
      </c>
      <c r="Z25" s="87">
        <f>IF(W25="","",IF(AND($Q$62=1,$U$44=$U$43),3,IF(AND($Q$62=2,$U$44=$U$43),2,IF(AND($Q$62=3,$U$44=$U$43),1,""))))</f>
      </c>
      <c r="AA25" s="87">
        <f>IF($W25="","",IF(AND($Q$62=1,$U$42=$U$44,$U$44=$U$43),3,IF(AND($Q$62=2,$U$42=$U$44,$U$44=$U$43),2,IF(AND($Q$62=3,$U$42=$U$44,$U$44=$U$43),1,""))))</f>
      </c>
      <c r="AB25" s="58"/>
      <c r="AC25" s="58"/>
      <c r="AD25" s="58"/>
      <c r="AE25" s="88">
        <f t="shared" si="1"/>
        <v>6</v>
      </c>
      <c r="AF25" s="38"/>
    </row>
    <row r="26" spans="1:32" s="83" customFormat="1" ht="9" customHeight="1">
      <c r="A26" s="89"/>
      <c r="B26" s="90"/>
      <c r="C26" s="90"/>
      <c r="D26" s="109"/>
      <c r="E26" s="91"/>
      <c r="F26" s="91"/>
      <c r="G26" s="92"/>
      <c r="H26" s="91"/>
      <c r="I26" s="110"/>
      <c r="J26" s="93" t="s">
        <v>23</v>
      </c>
      <c r="K26" s="111" t="s">
        <v>24</v>
      </c>
      <c r="L26" s="95" t="str">
        <f>UPPER(IF(OR(K26="a",K26="as"),J24,IF(OR(K26="b",K26="bs"),J28,)))</f>
        <v>ŽMAVC</v>
      </c>
      <c r="M26" s="112"/>
      <c r="N26" s="113"/>
      <c r="O26" s="113"/>
      <c r="P26" s="80"/>
      <c r="Q26" s="81"/>
      <c r="R26" s="82"/>
      <c r="U26" s="30">
        <f>IF(OR(K26="a",K26="as"),$U$24,IF(OR(K26="b",K26="bs"),U28,""))</f>
        <v>6509</v>
      </c>
      <c r="V26" s="98">
        <v>20</v>
      </c>
      <c r="W26" s="98" t="str">
        <f>UPPER(IF($D$45="","",VLOOKUP($D$45,'[1]m kvalifikacije žrebna lista'!$A$7:$R$38,3)))</f>
        <v>HRIBAR</v>
      </c>
      <c r="X26" s="98" t="str">
        <f>PROPER(IF($D$45="","",VLOOKUP($D$45,'[1]m kvalifikacije žrebna lista'!$A$7:$R$38,4)))</f>
        <v>Nik</v>
      </c>
      <c r="Y26" s="100">
        <f t="shared" si="0"/>
        <v>6</v>
      </c>
      <c r="Z26" s="101">
        <f>IF(W26="","",IF(AND($Q$62=1,$U$44=$U$45),3,IF(AND($Q$62=2,$U$44=$U$45),2,IF(AND($Q$62=3,$U$44=$U$45),1,""))))</f>
        <v>2</v>
      </c>
      <c r="AA26" s="101">
        <f>IF($W26="","",IF(AND($Q$62=1,$U$42=$U$44,$U$44=$U$45),3,IF(AND($Q$62=2,$U$42=$U$44,$U$44=$U$45),2,IF(AND($Q$62=3,$U$42=$U$44,$U$44=$U$45),1,""))))</f>
      </c>
      <c r="AB26" s="100"/>
      <c r="AC26" s="100"/>
      <c r="AD26" s="100"/>
      <c r="AE26" s="102">
        <f t="shared" si="1"/>
        <v>8</v>
      </c>
      <c r="AF26" s="38"/>
    </row>
    <row r="27" spans="1:32" s="83" customFormat="1" ht="9" customHeight="1">
      <c r="A27" s="89">
        <v>11</v>
      </c>
      <c r="B27" s="103" t="str">
        <f>UPPER(IF($D27="","",VLOOKUP($D27,'[1]m kvalifikacije žrebna lista'!$A$7:$R$38,17)))</f>
        <v>D</v>
      </c>
      <c r="C27" s="103">
        <f>(IF($D27="","",VLOOKUP($D27,'[1]m kvalifikacije žrebna lista'!$A$7:$R$38,2)))</f>
        <v>6652</v>
      </c>
      <c r="D27" s="74">
        <v>20</v>
      </c>
      <c r="E27" s="104" t="str">
        <f>UPPER(IF($D27="","",VLOOKUP($D27,'[1]m kvalifikacije žrebna lista'!$A$7:$R$38,3)))</f>
        <v>REBEC</v>
      </c>
      <c r="F27" s="104" t="str">
        <f>PROPER(IF($D27="","",VLOOKUP($D27,'[1]m kvalifikacije žrebna lista'!$A$7:$R$38,4)))</f>
        <v>Nik</v>
      </c>
      <c r="G27" s="104"/>
      <c r="H27" s="104" t="str">
        <f>UPPER(IF($D27="","",VLOOKUP($D27,'[1]m kvalifikacije žrebna lista'!$A$7:$R$38,5)))</f>
        <v>KOPER</v>
      </c>
      <c r="I27" s="75">
        <f>IF($D27="","",VLOOKUP($D27,'[1]m kvalifikacije žrebna lista'!$A$7:$R$38,14))</f>
        <v>10</v>
      </c>
      <c r="J27" s="76"/>
      <c r="K27" s="114"/>
      <c r="L27" s="106">
        <v>92</v>
      </c>
      <c r="M27" s="115"/>
      <c r="N27" s="115"/>
      <c r="O27" s="115"/>
      <c r="P27" s="80"/>
      <c r="Q27" s="81"/>
      <c r="R27" s="82"/>
      <c r="U27" s="30">
        <f>IF($D27="","",VLOOKUP($D27,'[1]m kvalifikacije žrebna lista'!$A$7:$R$38,2))</f>
        <v>6652</v>
      </c>
      <c r="V27" s="56">
        <v>21</v>
      </c>
      <c r="W27" s="56" t="str">
        <f>UPPER(IF($D$47="","",VLOOKUP($D$47,'[1]m kvalifikacije žrebna lista'!$A$7:$R$38,3)))</f>
        <v>KAPLJA</v>
      </c>
      <c r="X27" s="56" t="str">
        <f>PROPER(IF($D$47="","",VLOOKUP($D$47,'[1]m kvalifikacije žrebna lista'!$A$7:$R$38,4)))</f>
        <v>Aljaž Jakob</v>
      </c>
      <c r="Y27" s="58">
        <f t="shared" si="0"/>
        <v>6</v>
      </c>
      <c r="Z27" s="87">
        <f>IF(W27="","",IF(AND($Q$62=1,$U$48=$U$47),3,IF(AND($Q$62=2,$U$48=$U$47),2,IF(AND($Q$62=3,$U$48=$U$47),1,""))))</f>
        <v>2</v>
      </c>
      <c r="AA27" s="87">
        <f>IF($W27="","",IF(AND($Q$62=1,$U$50=$U$48,$U$48=$U$47),3,IF(AND($Q$62=2,$U$50=$U$48,$U$48=$U$47),2,IF(AND($Q$62=3,$U$50=$U$48,$U$48=$U$47),1,""))))</f>
        <v>2</v>
      </c>
      <c r="AB27" s="58"/>
      <c r="AC27" s="58"/>
      <c r="AD27" s="58"/>
      <c r="AE27" s="88">
        <f t="shared" si="1"/>
        <v>10</v>
      </c>
      <c r="AF27" s="38"/>
    </row>
    <row r="28" spans="1:32" s="83" customFormat="1" ht="9" customHeight="1">
      <c r="A28" s="127"/>
      <c r="B28" s="90"/>
      <c r="C28" s="90"/>
      <c r="D28" s="109"/>
      <c r="E28" s="91"/>
      <c r="F28" s="91"/>
      <c r="G28" s="92"/>
      <c r="H28" s="93" t="s">
        <v>23</v>
      </c>
      <c r="I28" s="94" t="s">
        <v>26</v>
      </c>
      <c r="J28" s="95" t="str">
        <f>UPPER(IF(OR(I28="a",I28="as"),E27,IF(OR(I28="b",I28="bs"),E29,)))</f>
        <v>POGLAJEN</v>
      </c>
      <c r="K28" s="117">
        <f>IF(OR(I28="a",I28="as"),I27,IF(OR(I28="b",I28="bs"),I29,))</f>
        <v>10</v>
      </c>
      <c r="L28" s="76"/>
      <c r="M28" s="115"/>
      <c r="N28" s="115"/>
      <c r="O28" s="115"/>
      <c r="P28" s="80"/>
      <c r="Q28" s="81"/>
      <c r="R28" s="82"/>
      <c r="U28" s="30">
        <f>IF(OR(I28="a",I28="as"),C27,IF(OR(I28="b",I28="bs"),C29,""))</f>
        <v>6222</v>
      </c>
      <c r="V28" s="98">
        <v>22</v>
      </c>
      <c r="W28" s="98">
        <f>UPPER(IF($D$49="","",VLOOKUP($D$49,'[1]m kvalifikacije žrebna lista'!$A$7:$R$38,3)))</f>
      </c>
      <c r="X28" s="98">
        <f>PROPER(IF($D$49="","",VLOOKUP($D$49,'[1]m kvalifikacije žrebna lista'!$A$7:$R$38,4)))</f>
      </c>
      <c r="Y28" s="100">
        <f t="shared" si="0"/>
      </c>
      <c r="Z28" s="101">
        <f>IF(W28="","",IF(AND($Q$62=1,$U$48=$U$49),3,IF(AND($Q$62=2,$U$48=$U$49),2,IF(AND($Q$62=3,$U$48=$U$49),1,""))))</f>
      </c>
      <c r="AA28" s="101">
        <f>IF($W28="","",IF(AND($Q$62=1,$U$50=$U$48,$U$48=$U$49),3,IF(AND($Q$62=2,$U$50=$U$48,$U$48=$U$49),2,IF(AND($Q$62=3,$U$50=$U$48,$U$48=$U$49),1,""))))</f>
      </c>
      <c r="AB28" s="100"/>
      <c r="AC28" s="100"/>
      <c r="AD28" s="100"/>
      <c r="AE28" s="102">
        <f t="shared" si="1"/>
        <v>0</v>
      </c>
      <c r="AF28" s="38"/>
    </row>
    <row r="29" spans="1:32" s="83" customFormat="1" ht="9" customHeight="1">
      <c r="A29" s="89">
        <v>12</v>
      </c>
      <c r="B29" s="103" t="str">
        <f>UPPER(IF($D29="","",VLOOKUP($D29,'[1]m kvalifikacije žrebna lista'!$A$7:$R$38,17)))</f>
        <v>D</v>
      </c>
      <c r="C29" s="103">
        <f>(IF($D29="","",VLOOKUP($D29,'[1]m kvalifikacije žrebna lista'!$A$7:$R$38,2)))</f>
        <v>6222</v>
      </c>
      <c r="D29" s="74">
        <v>17</v>
      </c>
      <c r="E29" s="104" t="str">
        <f>UPPER(IF($D29="","",VLOOKUP($D29,'[1]m kvalifikacije žrebna lista'!$A$7:$R$38,3)))</f>
        <v>POGLAJEN</v>
      </c>
      <c r="F29" s="104" t="str">
        <f>PROPER(IF($D29="","",VLOOKUP($D29,'[1]m kvalifikacije žrebna lista'!$A$7:$R$38,4)))</f>
        <v>Nik</v>
      </c>
      <c r="G29" s="104"/>
      <c r="H29" s="104" t="str">
        <f>UPPER(IF($D29="","",VLOOKUP($D29,'[1]m kvalifikacije žrebna lista'!$A$7:$R$38,5)))</f>
        <v>ASLIT</v>
      </c>
      <c r="I29" s="118">
        <f>IF($D29="","",VLOOKUP($D29,'[1]m kvalifikacije žrebna lista'!$A$7:$R$38,14))</f>
        <v>10</v>
      </c>
      <c r="J29" s="106">
        <v>93</v>
      </c>
      <c r="K29" s="119"/>
      <c r="L29" s="76"/>
      <c r="M29" s="115"/>
      <c r="N29" s="115"/>
      <c r="O29" s="115"/>
      <c r="P29" s="80"/>
      <c r="Q29" s="81"/>
      <c r="R29" s="82"/>
      <c r="U29" s="30">
        <f>IF($D29="","",VLOOKUP($D29,'[1]m kvalifikacije žrebna lista'!$A$7:$R$38,2))</f>
        <v>6222</v>
      </c>
      <c r="V29" s="56">
        <v>23</v>
      </c>
      <c r="W29" s="56" t="str">
        <f>UPPER(IF($D$51="","",VLOOKUP($D$51,'[1]m kvalifikacije žrebna lista'!$A$7:$R$38,3)))</f>
        <v>POGLAJEN</v>
      </c>
      <c r="X29" s="56" t="str">
        <f>PROPER(IF($D$51="","",VLOOKUP($D$51,'[1]m kvalifikacije žrebna lista'!$A$7:$R$38,4)))</f>
        <v>Tim</v>
      </c>
      <c r="Y29" s="58">
        <f t="shared" si="0"/>
        <v>6</v>
      </c>
      <c r="Z29" s="87">
        <f>IF(W29="","",IF(AND($Q$62=1,$U$52=$U$51),3,IF(AND($Q$62=2,$U$52=$U$51),2,IF(AND($Q$62=3,$U$52=$U$51),1,""))))</f>
        <v>2</v>
      </c>
      <c r="AA29" s="87">
        <f>IF($W29="","",IF(AND($Q$62=1,$U$50=$U$52,$U$52=$U$51),3,IF(AND($Q$62=2,$U$50=$U$52,$U$52=$U$51),2,IF(AND($Q$62=3,$U$50=$U$52,$U$52=$U$51),1,""))))</f>
      </c>
      <c r="AB29" s="58"/>
      <c r="AC29" s="58"/>
      <c r="AD29" s="58"/>
      <c r="AE29" s="88">
        <f t="shared" si="1"/>
        <v>8</v>
      </c>
      <c r="AF29" s="38"/>
    </row>
    <row r="30" spans="1:32" s="83" customFormat="1" ht="9" customHeight="1">
      <c r="A30" s="89"/>
      <c r="B30" s="90"/>
      <c r="C30" s="90"/>
      <c r="D30" s="109"/>
      <c r="E30" s="76"/>
      <c r="F30" s="76"/>
      <c r="G30" s="120"/>
      <c r="H30" s="121"/>
      <c r="I30" s="110"/>
      <c r="J30" s="76"/>
      <c r="K30" s="119"/>
      <c r="L30" s="93"/>
      <c r="M30" s="122"/>
      <c r="N30" s="123">
        <f>UPPER(IF(OR(M30="a",M30="as"),L26,IF(OR(M30="b",M30="bs"),L34,)))</f>
      </c>
      <c r="O30" s="115"/>
      <c r="P30" s="80"/>
      <c r="Q30" s="81"/>
      <c r="R30" s="82"/>
      <c r="U30" s="30"/>
      <c r="V30" s="98">
        <v>24</v>
      </c>
      <c r="W30" s="98" t="str">
        <f>UPPER(IF($D$53="","",VLOOKUP($D$53,'[1]m kvalifikacije žrebna lista'!$A$7:$R$38,3)))</f>
        <v>JUŽNIČ</v>
      </c>
      <c r="X30" s="98" t="str">
        <f>PROPER(IF($D$53="","",VLOOKUP($D$53,'[1]m kvalifikacije žrebna lista'!$A$7:$R$38,4)))</f>
        <v>David</v>
      </c>
      <c r="Y30" s="100">
        <f t="shared" si="0"/>
        <v>6</v>
      </c>
      <c r="Z30" s="101">
        <f>IF(W30="","",IF(AND($Q$62=1,$U$52=$U$53),3,IF(AND($Q$62=2,$U$52=$U$53),2,IF(AND($Q$62=3,$U$52=$U$53),1,""))))</f>
      </c>
      <c r="AA30" s="101">
        <f>IF($W30="","",IF(AND($Q$62=1,$U$50=$U$52,$U$52=$U$53),3,IF(AND($Q$62=2,$U$50=$U$52,$U$52=$U$53),2,IF(AND($Q$62=3,$U$50=$U$52,$U$52=$U$53),1,""))))</f>
      </c>
      <c r="AB30" s="100"/>
      <c r="AC30" s="100"/>
      <c r="AD30" s="100"/>
      <c r="AE30" s="102">
        <f t="shared" si="1"/>
        <v>6</v>
      </c>
      <c r="AF30" s="38"/>
    </row>
    <row r="31" spans="1:32" s="83" customFormat="1" ht="9" customHeight="1">
      <c r="A31" s="72">
        <v>13</v>
      </c>
      <c r="B31" s="73" t="str">
        <f>UPPER(IF($D31="","",VLOOKUP($D31,'[1]m kvalifikacije žrebna lista'!$A$7:$R$38,17)))</f>
        <v>D</v>
      </c>
      <c r="C31" s="73">
        <f>(IF($D31="","",VLOOKUP($D31,'[1]m kvalifikacije žrebna lista'!$A$7:$R$38,2)))</f>
        <v>6904</v>
      </c>
      <c r="D31" s="74">
        <v>4</v>
      </c>
      <c r="E31" s="73" t="str">
        <f>UPPER(IF($D31="","",VLOOKUP($D31,'[1]m kvalifikacije žrebna lista'!$A$7:$R$38,3)))</f>
        <v>NIKOLAŠ</v>
      </c>
      <c r="F31" s="73" t="str">
        <f>PROPER(IF($D31="","",VLOOKUP($D31,'[1]m kvalifikacije žrebna lista'!$A$7:$R$38,4)))</f>
        <v>Klemen</v>
      </c>
      <c r="G31" s="73"/>
      <c r="H31" s="73" t="str">
        <f>UPPER(IF($D31="","",VLOOKUP($D31,'[1]m kvalifikacije žrebna lista'!$A$7:$R$38,5)))</f>
        <v>TR-KR</v>
      </c>
      <c r="I31" s="124">
        <f>IF($D31="","",VLOOKUP($D31,'[1]m kvalifikacije žrebna lista'!$A$7:$R$38,14))</f>
        <v>10</v>
      </c>
      <c r="J31" s="76"/>
      <c r="K31" s="119"/>
      <c r="L31" s="76"/>
      <c r="M31" s="115"/>
      <c r="N31" s="123"/>
      <c r="O31" s="115"/>
      <c r="P31" s="80"/>
      <c r="Q31" s="81"/>
      <c r="R31" s="82"/>
      <c r="U31" s="30">
        <f>IF($D31="","",VLOOKUP($D31,'[1]m kvalifikacije žrebna lista'!$A$7:$R$38,2))</f>
        <v>6904</v>
      </c>
      <c r="V31" s="56">
        <v>25</v>
      </c>
      <c r="W31" s="56" t="str">
        <f>UPPER(IF($D$55="","",VLOOKUP($D$55,'[1]m kvalifikacije žrebna lista'!$A$7:$R$38,3)))</f>
        <v>HOBACHER</v>
      </c>
      <c r="X31" s="56" t="str">
        <f>PROPER(IF($D$55="","",VLOOKUP($D$55,'[1]m kvalifikacije žrebna lista'!$A$7:$R$38,4)))</f>
        <v>Dominik</v>
      </c>
      <c r="Y31" s="58">
        <f t="shared" si="0"/>
        <v>6</v>
      </c>
      <c r="Z31" s="87">
        <f>IF(W31="","",IF(AND($Q$62=1,$U$56=$U$55),3,IF(AND($Q$62=2,$U$56=$U$55),2,IF(AND($Q$62=3,$U$56=$U$55),1,""))))</f>
        <v>2</v>
      </c>
      <c r="AA31" s="87">
        <f>IF($W31="","",IF(AND($Q$62=1,$U$58=$U$56,$U$56=$U$55),3,IF(AND($Q$62=2,$U$58=$U$56,$U$56=$U$55),2,IF(AND($Q$62=3,$U$58=$U$56,$U$56=$U$55),1,""))))</f>
      </c>
      <c r="AB31" s="58"/>
      <c r="AC31" s="58"/>
      <c r="AD31" s="58"/>
      <c r="AE31" s="88">
        <f t="shared" si="1"/>
        <v>8</v>
      </c>
      <c r="AF31" s="38"/>
    </row>
    <row r="32" spans="1:32" s="83" customFormat="1" ht="9" customHeight="1">
      <c r="A32" s="89"/>
      <c r="B32" s="90"/>
      <c r="C32" s="90"/>
      <c r="D32" s="109"/>
      <c r="E32" s="91"/>
      <c r="F32" s="91"/>
      <c r="G32" s="92"/>
      <c r="H32" s="93" t="s">
        <v>23</v>
      </c>
      <c r="I32" s="94" t="s">
        <v>24</v>
      </c>
      <c r="J32" s="95" t="str">
        <f>UPPER(IF(OR(I32="a",I32="as"),E31,IF(OR(I32="b",I32="bs"),E33,)))</f>
        <v>NIKOLAŠ</v>
      </c>
      <c r="K32" s="96">
        <f>IF(OR(I32="a",I32="as"),I31,IF(OR(I32="b",I32="bs"),I33,))</f>
        <v>10</v>
      </c>
      <c r="L32" s="76"/>
      <c r="M32" s="115"/>
      <c r="N32" s="115"/>
      <c r="O32" s="115"/>
      <c r="P32" s="80"/>
      <c r="Q32" s="81"/>
      <c r="R32" s="82"/>
      <c r="U32" s="30">
        <f>IF(OR(I32="a",I32="as"),C31,IF(OR(I32="b",I32="bs"),C33,""))</f>
        <v>6904</v>
      </c>
      <c r="V32" s="98">
        <v>26</v>
      </c>
      <c r="W32" s="98">
        <f>UPPER(IF($D$57="","",VLOOKUP($D$57,'[1]m kvalifikacije žrebna lista'!$A$7:$R$38,3)))</f>
      </c>
      <c r="X32" s="98">
        <f>PROPER(IF($D$57="","",VLOOKUP($D$57,'[1]m kvalifikacije žrebna lista'!$A$7:$R$38,4)))</f>
      </c>
      <c r="Y32" s="100">
        <f t="shared" si="0"/>
      </c>
      <c r="Z32" s="101">
        <f>IF(W32="","",IF(AND($Q$62=1,$U$56=$U$57),3,IF(AND($Q$62=2,$U$56=$U$57),2,IF(AND($Q$62=3,$U$56=$U$57),1,""))))</f>
      </c>
      <c r="AA32" s="101">
        <f>IF($W32="","",IF(AND($Q$62=1,$U$58=$U$56,$U$56=$U$57),3,IF(AND($Q$62=2,$U$58=$U$56,$U$56=$U$57),2,IF(AND($Q$62=3,$U$58=$U$56,$U$56=$U$57),1,""))))</f>
      </c>
      <c r="AB32" s="100"/>
      <c r="AC32" s="100"/>
      <c r="AD32" s="100"/>
      <c r="AE32" s="102">
        <f t="shared" si="1"/>
        <v>0</v>
      </c>
      <c r="AF32" s="38"/>
    </row>
    <row r="33" spans="1:32" s="83" customFormat="1" ht="9" customHeight="1">
      <c r="A33" s="89">
        <v>14</v>
      </c>
      <c r="B33" s="103">
        <f>UPPER(IF($D33="","",VLOOKUP($D33,'[1]m kvalifikacije žrebna lista'!$A$7:$R$38,17)))</f>
      </c>
      <c r="C33" s="103">
        <f>(IF($D33="","",VLOOKUP($D33,'[1]m kvalifikacije žrebna lista'!$A$7:$R$38,2)))</f>
      </c>
      <c r="D33" s="74"/>
      <c r="E33" s="104" t="s">
        <v>25</v>
      </c>
      <c r="F33" s="104">
        <f>PROPER(IF($D33="","",VLOOKUP($D33,'[1]m kvalifikacije žrebna lista'!$A$7:$R$38,4)))</f>
      </c>
      <c r="G33" s="104"/>
      <c r="H33" s="104">
        <f>UPPER(IF($D33="","",VLOOKUP($D33,'[1]m kvalifikacije žrebna lista'!$A$7:$R$38,5)))</f>
      </c>
      <c r="I33" s="105">
        <f>IF($D33="","",VLOOKUP($D33,'[1]m kvalifikacije žrebna lista'!$A$7:$R$38,14))</f>
      </c>
      <c r="J33" s="106"/>
      <c r="K33" s="107"/>
      <c r="L33" s="76"/>
      <c r="M33" s="115"/>
      <c r="N33" s="115"/>
      <c r="O33" s="115"/>
      <c r="P33" s="80"/>
      <c r="Q33" s="81"/>
      <c r="R33" s="82"/>
      <c r="U33" s="30">
        <f>IF($D33="","",VLOOKUP($D33,'[1]m kvalifikacije žrebna lista'!$A$7:$R$38,2))</f>
      </c>
      <c r="V33" s="56">
        <v>27</v>
      </c>
      <c r="W33" s="56">
        <f>UPPER(IF($D$59="","",VLOOKUP($D$59,'[1]m kvalifikacije žrebna lista'!$A$7:$R$38,3)))</f>
      </c>
      <c r="X33" s="56">
        <f>PROPER(IF($D$59="","",VLOOKUP($D$59,'[1]m kvalifikacije žrebna lista'!$A$7:$R$38,4)))</f>
      </c>
      <c r="Y33" s="58">
        <f t="shared" si="0"/>
      </c>
      <c r="Z33" s="87">
        <f>IF(W33="","",IF(AND($Q$62=1,$U$60=$U$59),3,IF(AND($Q$62=2,$U$60=$U$59),2,IF(AND($Q$62=3,$U$60=$U$59),1,""))))</f>
      </c>
      <c r="AA33" s="87">
        <f>IF($W33="","",IF(AND($Q$62=1,$U$58=$U$60,$U$60=$U$59),3,IF(AND($Q$62=2,$U$58=$U$60,$U$60=$U$59),2,IF(AND($Q$62=3,$U$58=$U$60,$U$60=$U$59),1,""))))</f>
      </c>
      <c r="AB33" s="58"/>
      <c r="AC33" s="58"/>
      <c r="AD33" s="58"/>
      <c r="AE33" s="88">
        <f t="shared" si="1"/>
        <v>0</v>
      </c>
      <c r="AF33" s="38"/>
    </row>
    <row r="34" spans="1:32" s="83" customFormat="1" ht="9" customHeight="1">
      <c r="A34" s="89"/>
      <c r="B34" s="90"/>
      <c r="C34" s="90"/>
      <c r="D34" s="109"/>
      <c r="E34" s="91"/>
      <c r="F34" s="91"/>
      <c r="G34" s="92"/>
      <c r="H34" s="76"/>
      <c r="I34" s="110"/>
      <c r="J34" s="93" t="s">
        <v>23</v>
      </c>
      <c r="K34" s="111" t="s">
        <v>26</v>
      </c>
      <c r="L34" s="95" t="str">
        <f>UPPER(IF(OR(K34="a",K34="as"),J32,IF(OR(K34="b",K34="bs"),J36,)))</f>
        <v>ČUK</v>
      </c>
      <c r="M34" s="112"/>
      <c r="N34" s="113"/>
      <c r="O34" s="115"/>
      <c r="P34" s="80"/>
      <c r="Q34" s="81"/>
      <c r="R34" s="82"/>
      <c r="U34" s="30">
        <f>IF(OR(K34="a",K34="as"),$U$32,IF(OR(K34="b",K34="bs"),U36,""))</f>
        <v>5852</v>
      </c>
      <c r="V34" s="98">
        <v>28</v>
      </c>
      <c r="W34" s="98" t="str">
        <f>UPPER(IF($D$61="","",VLOOKUP($D$61,'[1]m kvalifikacije žrebna lista'!$A$7:$R$38,3)))</f>
        <v>LAVRENČIČ</v>
      </c>
      <c r="X34" s="98" t="str">
        <f>PROPER(IF($D$61="","",VLOOKUP($D$61,'[1]m kvalifikacije žrebna lista'!$A$7:$R$38,4)))</f>
        <v>Nejc</v>
      </c>
      <c r="Y34" s="100">
        <f t="shared" si="0"/>
        <v>6</v>
      </c>
      <c r="Z34" s="101">
        <f>IF(W34="","",IF(AND($Q$62=1,$U$60=$U$61),3,IF(AND($Q$62=2,$U$60=$U$61),2,IF(AND($Q$62=3,$U$60=$U$61),1,""))))</f>
        <v>2</v>
      </c>
      <c r="AA34" s="101">
        <f>IF($W34="","",IF(AND($Q$62=1,$U$58=$U$60,$U$60=$U$61),3,IF(AND($Q$62=2,$U$58=$U$60,$U$60=$U$61),2,IF(AND($Q$62=3,$U$58=$U$60,$U$60=$U$61),1,""))))</f>
        <v>2</v>
      </c>
      <c r="AB34" s="100"/>
      <c r="AC34" s="100"/>
      <c r="AD34" s="100"/>
      <c r="AE34" s="102">
        <f t="shared" si="1"/>
        <v>10</v>
      </c>
      <c r="AF34" s="38"/>
    </row>
    <row r="35" spans="1:32" s="83" customFormat="1" ht="9" customHeight="1">
      <c r="A35" s="89">
        <v>15</v>
      </c>
      <c r="B35" s="103" t="str">
        <f>UPPER(IF($D35="","",VLOOKUP($D35,'[1]m kvalifikacije žrebna lista'!$A$7:$R$38,17)))</f>
        <v>D</v>
      </c>
      <c r="C35" s="103">
        <f>(IF($D35="","",VLOOKUP($D35,'[1]m kvalifikacije žrebna lista'!$A$7:$R$38,2)))</f>
        <v>6569</v>
      </c>
      <c r="D35" s="74">
        <v>12</v>
      </c>
      <c r="E35" s="104" t="str">
        <f>UPPER(IF($D35="","",VLOOKUP($D35,'[1]m kvalifikacije žrebna lista'!$A$7:$R$38,3)))</f>
        <v>RADIŠIČ</v>
      </c>
      <c r="F35" s="104" t="str">
        <f>PROPER(IF($D35="","",VLOOKUP($D35,'[1]m kvalifikacije žrebna lista'!$A$7:$R$38,4)))</f>
        <v>Luka</v>
      </c>
      <c r="G35" s="104"/>
      <c r="H35" s="104" t="str">
        <f>UPPER(IF($D35="","",VLOOKUP($D35,'[1]m kvalifikacije žrebna lista'!$A$7:$R$38,5)))</f>
        <v>TABRE</v>
      </c>
      <c r="I35" s="75">
        <f>IF($D35="","",VLOOKUP($D35,'[1]m kvalifikacije žrebna lista'!$A$7:$R$38,14))</f>
        <v>10</v>
      </c>
      <c r="J35" s="76"/>
      <c r="K35" s="114"/>
      <c r="L35" s="106">
        <v>92</v>
      </c>
      <c r="M35" s="113"/>
      <c r="N35" s="113"/>
      <c r="O35" s="113"/>
      <c r="P35" s="80"/>
      <c r="Q35" s="81"/>
      <c r="R35" s="82"/>
      <c r="U35" s="30">
        <f>IF($D35="","",VLOOKUP($D35,'[1]m kvalifikacije žrebna lista'!$A$7:$R$38,2))</f>
        <v>6569</v>
      </c>
      <c r="V35" s="56">
        <v>29</v>
      </c>
      <c r="W35" s="56" t="str">
        <f>UPPER(IF($D$63="","",VLOOKUP($D$63,'[1]m kvalifikacije žrebna lista'!$A$7:$R$38,3)))</f>
        <v>ŠTER</v>
      </c>
      <c r="X35" s="56" t="str">
        <f>PROPER(IF($D$63="","",VLOOKUP($D$63,'[1]m kvalifikacije žrebna lista'!$A$7:$R$38,4)))</f>
        <v>Nejc</v>
      </c>
      <c r="Y35" s="58">
        <f t="shared" si="0"/>
        <v>6</v>
      </c>
      <c r="Z35" s="87">
        <f>IF(W35="","",IF(AND($Q$62=1,$U$64=$U$63),3,IF(AND($Q$62=2,$U$64=$U$63),2,IF(AND($Q$62=3,$U$64=$U$63),1,""))))</f>
        <v>2</v>
      </c>
      <c r="AA35" s="87">
        <f>IF($W35="","",IF(AND($Q$62=1,$U$66=$U$64,$U$64=$U$63),3,IF(AND($Q$62=2,$U$66=$U$64,$U$64=$U$63),2,IF(AND($Q$62=3,$U$66=$U$64,$U$64=$U$63),1,""))))</f>
        <v>2</v>
      </c>
      <c r="AB35" s="58"/>
      <c r="AC35" s="58"/>
      <c r="AD35" s="58"/>
      <c r="AE35" s="88">
        <f t="shared" si="1"/>
        <v>10</v>
      </c>
      <c r="AF35" s="38"/>
    </row>
    <row r="36" spans="1:32" s="83" customFormat="1" ht="9" customHeight="1">
      <c r="A36" s="89"/>
      <c r="B36" s="90"/>
      <c r="C36" s="90"/>
      <c r="D36" s="90"/>
      <c r="E36" s="91"/>
      <c r="F36" s="91"/>
      <c r="G36" s="92"/>
      <c r="H36" s="93" t="s">
        <v>23</v>
      </c>
      <c r="I36" s="94" t="s">
        <v>26</v>
      </c>
      <c r="J36" s="95" t="str">
        <f>UPPER(IF(OR(I36="a",I36="as"),E35,IF(OR(I36="b",I36="bs"),E37,)))</f>
        <v>ČUK</v>
      </c>
      <c r="K36" s="117">
        <f>IF(OR(I36="a",I36="as"),I35,IF(OR(I36="b",I36="bs"),I37,))</f>
        <v>10</v>
      </c>
      <c r="L36" s="76"/>
      <c r="M36" s="113"/>
      <c r="N36" s="113"/>
      <c r="O36" s="113"/>
      <c r="P36" s="80"/>
      <c r="Q36" s="81"/>
      <c r="R36" s="82"/>
      <c r="U36" s="30">
        <f>IF(OR(I36="a",I36="as"),C35,IF(OR(I36="b",I36="bs"),C37,""))</f>
        <v>5852</v>
      </c>
      <c r="V36" s="98">
        <v>30</v>
      </c>
      <c r="W36" s="98">
        <f>UPPER(IF($D$65="","",VLOOKUP($D$65,'[1]m kvalifikacije žrebna lista'!$A$7:$R$38,3)))</f>
      </c>
      <c r="X36" s="98">
        <f>PROPER(IF($D$65="","",VLOOKUP($D$65,'[1]m kvalifikacije žrebna lista'!$A$7:$R$38,4)))</f>
      </c>
      <c r="Y36" s="100">
        <f t="shared" si="0"/>
      </c>
      <c r="Z36" s="101">
        <f>IF(W36="","",IF(AND($Q$62=1,$U$64=$U$65),3,IF(AND($Q$62=2,$U$64=$U$65),2,IF(AND($Q$62=3,$U$64=$U$65),1,""))))</f>
      </c>
      <c r="AA36" s="101">
        <f>IF($W36="","",IF(AND($Q$62=1,$U$66=$U$64,$U$64=$U$65),3,IF(AND($Q$62=2,$U$66=$U$64,$U$64=$U$65),2,IF(AND($Q$62=3,$U$66=$U$64,$U$64=$U$65),1,""))))</f>
      </c>
      <c r="AB36" s="100"/>
      <c r="AC36" s="100"/>
      <c r="AD36" s="100"/>
      <c r="AE36" s="102">
        <f t="shared" si="1"/>
        <v>0</v>
      </c>
      <c r="AF36" s="38"/>
    </row>
    <row r="37" spans="1:32" s="83" customFormat="1" ht="9" customHeight="1" thickBot="1">
      <c r="A37" s="89">
        <v>16</v>
      </c>
      <c r="B37" s="103" t="str">
        <f>UPPER(IF($D37="","",VLOOKUP($D37,'[1]m kvalifikacije žrebna lista'!$A$7:$R$38,17)))</f>
        <v>D</v>
      </c>
      <c r="C37" s="103">
        <f>(IF($D37="","",VLOOKUP($D37,'[1]m kvalifikacije žrebna lista'!$A$7:$R$38,2)))</f>
        <v>5852</v>
      </c>
      <c r="D37" s="74">
        <v>15</v>
      </c>
      <c r="E37" s="104" t="str">
        <f>UPPER(IF($D37="","",VLOOKUP($D37,'[1]m kvalifikacije žrebna lista'!$A$7:$R$38,3)))</f>
        <v>ČUK</v>
      </c>
      <c r="F37" s="104" t="str">
        <f>PROPER(IF($D37="","",VLOOKUP($D37,'[1]m kvalifikacije žrebna lista'!$A$7:$R$38,4)))</f>
        <v>Mark</v>
      </c>
      <c r="G37" s="73"/>
      <c r="H37" s="104" t="str">
        <f>UPPER(IF($D37="","",VLOOKUP($D37,'[1]m kvalifikacije žrebna lista'!$A$7:$R$38,5)))</f>
        <v>ASLIT</v>
      </c>
      <c r="I37" s="118">
        <f>IF($D37="","",VLOOKUP($D37,'[1]m kvalifikacije žrebna lista'!$A$7:$R$38,14))</f>
        <v>10</v>
      </c>
      <c r="J37" s="106">
        <v>95</v>
      </c>
      <c r="K37" s="119"/>
      <c r="L37" s="76"/>
      <c r="M37" s="113"/>
      <c r="N37" s="113"/>
      <c r="O37" s="113"/>
      <c r="P37" s="80"/>
      <c r="Q37" s="81"/>
      <c r="R37" s="82"/>
      <c r="U37" s="30">
        <f>IF($D37="","",VLOOKUP($D37,'[1]m kvalifikacije žrebna lista'!$A$7:$R$38,2))</f>
        <v>5852</v>
      </c>
      <c r="V37" s="56">
        <v>31</v>
      </c>
      <c r="W37" s="56">
        <f>UPPER(IF($D$67="","",VLOOKUP($D$67,'[1]m kvalifikacije žrebna lista'!$A$7:$R$38,3)))</f>
      </c>
      <c r="X37" s="56">
        <f>PROPER(IF($D$67="","",VLOOKUP($D$67,'[1]m kvalifikacije žrebna lista'!$A$7:$R$38,4)))</f>
      </c>
      <c r="Y37" s="58">
        <f t="shared" si="0"/>
      </c>
      <c r="Z37" s="87">
        <f>IF(W37="","",IF(AND($Q$62=1,$U$68=$U$67),3,IF(AND($Q$62=2,$U$68=$U$67),2,IF(AND($Q$62=3,$U$68=$U$67),1,""))))</f>
      </c>
      <c r="AA37" s="87">
        <f>IF($W37="","",IF(AND($Q$62=1,$U$66=$U$68,$U$68=$U$67),3,IF(AND($Q$62=2,$U$66=$U$68,$U$68=$U$67),2,IF(AND($Q$62=3,$U$66=$U$68,$U$68=$U$67),1,""))))</f>
      </c>
      <c r="AB37" s="58"/>
      <c r="AC37" s="58"/>
      <c r="AD37" s="58"/>
      <c r="AE37" s="88">
        <f t="shared" si="1"/>
        <v>0</v>
      </c>
      <c r="AF37" s="38"/>
    </row>
    <row r="38" spans="1:32" s="83" customFormat="1" ht="9" customHeight="1">
      <c r="A38" s="89"/>
      <c r="B38" s="90"/>
      <c r="C38" s="90"/>
      <c r="D38" s="90"/>
      <c r="E38" s="91"/>
      <c r="F38" s="91"/>
      <c r="G38" s="92"/>
      <c r="H38" s="91"/>
      <c r="I38" s="110"/>
      <c r="J38" s="76"/>
      <c r="K38" s="119"/>
      <c r="L38" s="76"/>
      <c r="M38" s="113"/>
      <c r="N38" s="113"/>
      <c r="O38" s="113"/>
      <c r="P38" s="80"/>
      <c r="Q38" s="81"/>
      <c r="R38" s="82"/>
      <c r="T38" s="84"/>
      <c r="U38" s="30"/>
      <c r="V38" s="98">
        <v>32</v>
      </c>
      <c r="W38" s="98" t="str">
        <f>UPPER(IF($D$69="","",VLOOKUP($D$69,'[1]m kvalifikacije žrebna lista'!$A$7:$R$38,3)))</f>
        <v>PURIĆ</v>
      </c>
      <c r="X38" s="98" t="str">
        <f>PROPER(IF($D$69="","",VLOOKUP($D$69,'[1]m kvalifikacije žrebna lista'!$A$7:$R$38,4)))</f>
        <v>Dorian</v>
      </c>
      <c r="Y38" s="100">
        <f t="shared" si="0"/>
        <v>6</v>
      </c>
      <c r="Z38" s="101">
        <f>IF(W38="","",IF(AND($Q$62=1,$U$68=$U$69),3,IF(AND($Q$62=2,$U$68=$U$69),2,IF(AND($Q$62=3,$U$68=$U$69),1,""))))</f>
        <v>2</v>
      </c>
      <c r="AA38" s="101">
        <f>IF($W38="","",IF(AND($Q$62=1,$U$66=$U$68,$U$68=$U$69),3,IF(AND($Q$62=2,$U$66=$U$68,$U$68=$U$69),2,IF(AND($Q$62=3,$U$66=$U$68,$U$68=$U$69),1,""))))</f>
      </c>
      <c r="AB38" s="100"/>
      <c r="AC38" s="100"/>
      <c r="AD38" s="100"/>
      <c r="AE38" s="102">
        <f t="shared" si="1"/>
        <v>8</v>
      </c>
      <c r="AF38" s="38"/>
    </row>
    <row r="39" spans="1:32" s="83" customFormat="1" ht="9" customHeight="1">
      <c r="A39" s="72">
        <v>17</v>
      </c>
      <c r="B39" s="73" t="str">
        <f>UPPER(IF($D39="","",VLOOKUP($D39,'[1]m kvalifikacije žrebna lista'!$A$7:$R$38,17)))</f>
        <v>D</v>
      </c>
      <c r="C39" s="73">
        <f>(IF($D39="","",VLOOKUP($D39,'[1]m kvalifikacije žrebna lista'!$A$7:$R$38,2)))</f>
        <v>6564</v>
      </c>
      <c r="D39" s="74">
        <v>5</v>
      </c>
      <c r="E39" s="73" t="str">
        <f>UPPER(IF($D39="","",VLOOKUP($D39,'[1]m kvalifikacije žrebna lista'!$A$7:$R$38,3)))</f>
        <v>DROBNIČ</v>
      </c>
      <c r="F39" s="73" t="str">
        <f>PROPER(IF($D39="","",VLOOKUP($D39,'[1]m kvalifikacije žrebna lista'!$A$7:$R$38,4)))</f>
        <v>Žiga</v>
      </c>
      <c r="G39" s="73"/>
      <c r="H39" s="73" t="str">
        <f>UPPER(IF($D39="","",VLOOKUP($D39,'[1]m kvalifikacije žrebna lista'!$A$7:$R$38,5)))</f>
        <v>ZKLUB</v>
      </c>
      <c r="I39" s="75">
        <f>IF($D39="","",VLOOKUP($D39,'[1]m kvalifikacije žrebna lista'!$A$7:$R$38,14))</f>
        <v>10</v>
      </c>
      <c r="J39" s="76"/>
      <c r="K39" s="119"/>
      <c r="L39" s="76"/>
      <c r="M39" s="113"/>
      <c r="N39" s="93"/>
      <c r="O39" s="113"/>
      <c r="P39" s="128"/>
      <c r="Q39" s="81"/>
      <c r="R39" s="82"/>
      <c r="T39" s="97"/>
      <c r="U39" s="30">
        <f>IF($D39="","",VLOOKUP($D39,'[1]m kvalifikacije žrebna lista'!$A$7:$R$38,2))</f>
        <v>6564</v>
      </c>
      <c r="Y39" s="36">
        <f>COUNTIF(Y7:Y38,"&gt;0")</f>
        <v>22</v>
      </c>
      <c r="Z39" s="36">
        <f>COUNTIF(Z7:Z38,"&gt;0")</f>
        <v>16</v>
      </c>
      <c r="AA39" s="36">
        <f>COUNTIF(AA7:AA38,"&gt;0")</f>
        <v>8</v>
      </c>
      <c r="AB39" s="36"/>
      <c r="AC39" s="36"/>
      <c r="AD39" s="36"/>
      <c r="AE39" s="36">
        <f>COUNTIF(AE7:AE38,"&gt;0")</f>
        <v>22</v>
      </c>
      <c r="AF39" s="38"/>
    </row>
    <row r="40" spans="1:32" s="83" customFormat="1" ht="9" customHeight="1">
      <c r="A40" s="89"/>
      <c r="B40" s="90"/>
      <c r="C40" s="90"/>
      <c r="D40" s="90"/>
      <c r="E40" s="91"/>
      <c r="F40" s="91"/>
      <c r="G40" s="92"/>
      <c r="H40" s="93" t="s">
        <v>23</v>
      </c>
      <c r="I40" s="94" t="s">
        <v>24</v>
      </c>
      <c r="J40" s="95" t="str">
        <f>UPPER(IF(OR(I40="a",I40="as"),E39,IF(OR(I40="b",I40="bs"),E41,)))</f>
        <v>DROBNIČ</v>
      </c>
      <c r="K40" s="96">
        <f>IF(OR(I40="a",I40="as"),I39,IF(OR(I40="b",I40="bs"),I41,))</f>
        <v>10</v>
      </c>
      <c r="L40" s="76"/>
      <c r="M40" s="113"/>
      <c r="N40" s="113"/>
      <c r="O40" s="113"/>
      <c r="P40" s="129"/>
      <c r="Q40" s="130"/>
      <c r="R40" s="82"/>
      <c r="T40" s="97"/>
      <c r="U40" s="30">
        <f>IF(OR(I40="a",I40="as"),C39,IF(OR(I40="b",I40="bs"),C41,""))</f>
        <v>6564</v>
      </c>
      <c r="AF40" s="38"/>
    </row>
    <row r="41" spans="1:36" s="83" customFormat="1" ht="9" customHeight="1">
      <c r="A41" s="89">
        <v>18</v>
      </c>
      <c r="B41" s="103">
        <f>UPPER(IF($D41="","",VLOOKUP($D41,'[1]m kvalifikacije žrebna lista'!$A$7:$R$38,17)))</f>
      </c>
      <c r="C41" s="103">
        <f>(IF($D41="","",VLOOKUP($D41,'[1]m kvalifikacije žrebna lista'!$A$7:$R$38,2)))</f>
      </c>
      <c r="D41" s="74"/>
      <c r="E41" s="104" t="s">
        <v>25</v>
      </c>
      <c r="F41" s="104">
        <f>PROPER(IF($D41="","",VLOOKUP($D41,'[1]m kvalifikacije žrebna lista'!$A$7:$R$38,4)))</f>
      </c>
      <c r="G41" s="104"/>
      <c r="H41" s="104">
        <f>UPPER(IF($D41="","",VLOOKUP($D41,'[1]m kvalifikacije žrebna lista'!$A$7:$R$38,5)))</f>
      </c>
      <c r="I41" s="105">
        <f>IF($D41="","",VLOOKUP($D41,'[1]m kvalifikacije žrebna lista'!$A$7:$R$38,14))</f>
      </c>
      <c r="J41" s="106"/>
      <c r="K41" s="107"/>
      <c r="L41" s="76"/>
      <c r="M41" s="113"/>
      <c r="N41" s="113"/>
      <c r="O41" s="113"/>
      <c r="P41" s="80"/>
      <c r="Q41" s="81"/>
      <c r="R41" s="82"/>
      <c r="T41" s="97"/>
      <c r="U41" s="30">
        <f>IF($D41="","",VLOOKUP($D41,'[1]m kvalifikacije žrebna lista'!$A$7:$R$38,2))</f>
      </c>
      <c r="V41" s="433" t="s">
        <v>28</v>
      </c>
      <c r="W41" s="433"/>
      <c r="X41" s="433"/>
      <c r="Y41" s="433"/>
      <c r="Z41" s="433"/>
      <c r="AA41" s="433"/>
      <c r="AB41" s="131"/>
      <c r="AC41" s="131"/>
      <c r="AD41" s="131"/>
      <c r="AE41" s="132"/>
      <c r="AF41" s="133"/>
      <c r="AG41" s="134" t="s">
        <v>29</v>
      </c>
      <c r="AH41" s="135"/>
      <c r="AI41" s="135"/>
      <c r="AJ41" s="135"/>
    </row>
    <row r="42" spans="1:36" s="83" customFormat="1" ht="9" customHeight="1">
      <c r="A42" s="89"/>
      <c r="B42" s="90"/>
      <c r="C42" s="90"/>
      <c r="D42" s="109"/>
      <c r="E42" s="91"/>
      <c r="F42" s="91"/>
      <c r="G42" s="92"/>
      <c r="H42" s="91"/>
      <c r="I42" s="110"/>
      <c r="J42" s="93" t="s">
        <v>23</v>
      </c>
      <c r="K42" s="111" t="s">
        <v>24</v>
      </c>
      <c r="L42" s="95" t="str">
        <f>UPPER(IF(OR(K42="a",K42="as"),J40,IF(OR(K42="b",K42="bs"),J44,)))</f>
        <v>DROBNIČ</v>
      </c>
      <c r="M42" s="112"/>
      <c r="N42" s="113"/>
      <c r="O42" s="113"/>
      <c r="P42" s="80"/>
      <c r="Q42" s="81"/>
      <c r="R42" s="82"/>
      <c r="T42" s="97"/>
      <c r="U42" s="30">
        <f>IF(OR(K42="a",K42="as"),$U$40,IF(OR(K42="b",K42="bs"),U44,""))</f>
        <v>6564</v>
      </c>
      <c r="V42" s="135"/>
      <c r="W42" s="133"/>
      <c r="X42" s="136"/>
      <c r="Y42" s="131"/>
      <c r="Z42" s="131"/>
      <c r="AA42" s="131"/>
      <c r="AB42" s="131"/>
      <c r="AC42" s="131"/>
      <c r="AD42" s="131"/>
      <c r="AE42" s="132"/>
      <c r="AF42" s="133"/>
      <c r="AG42" s="135"/>
      <c r="AH42" s="135"/>
      <c r="AI42" s="135"/>
      <c r="AJ42" s="135"/>
    </row>
    <row r="43" spans="1:36" s="83" customFormat="1" ht="9" customHeight="1">
      <c r="A43" s="89">
        <v>19</v>
      </c>
      <c r="B43" s="103" t="str">
        <f>UPPER(IF($D43="","",VLOOKUP($D43,'[1]m kvalifikacije žrebna lista'!$A$7:$R$38,17)))</f>
        <v>D</v>
      </c>
      <c r="C43" s="103">
        <f>(IF($D43="","",VLOOKUP($D43,'[1]m kvalifikacije žrebna lista'!$A$7:$R$38,2)))</f>
        <v>6433</v>
      </c>
      <c r="D43" s="74">
        <v>11</v>
      </c>
      <c r="E43" s="104" t="str">
        <f>UPPER(IF($D43="","",VLOOKUP($D43,'[1]m kvalifikacije žrebna lista'!$A$7:$R$38,3)))</f>
        <v>ŽIDAN</v>
      </c>
      <c r="F43" s="104" t="str">
        <f>PROPER(IF($D43="","",VLOOKUP($D43,'[1]m kvalifikacije žrebna lista'!$A$7:$R$38,4)))</f>
        <v>Emil</v>
      </c>
      <c r="G43" s="104"/>
      <c r="H43" s="104" t="str">
        <f>UPPER(IF($D43="","",VLOOKUP($D43,'[1]m kvalifikacije žrebna lista'!$A$7:$R$38,5)))</f>
        <v>TABRE</v>
      </c>
      <c r="I43" s="75">
        <f>IF($D43="","",VLOOKUP($D43,'[1]m kvalifikacije žrebna lista'!$A$7:$R$38,14))</f>
        <v>10</v>
      </c>
      <c r="J43" s="76"/>
      <c r="K43" s="114"/>
      <c r="L43" s="106">
        <v>90</v>
      </c>
      <c r="M43" s="115"/>
      <c r="N43" s="115"/>
      <c r="O43" s="115"/>
      <c r="P43" s="80"/>
      <c r="Q43" s="81"/>
      <c r="R43" s="82"/>
      <c r="T43" s="97"/>
      <c r="U43" s="30">
        <f>IF($D43="","",VLOOKUP($D43,'[1]m kvalifikacije žrebna lista'!$A$7:$R$38,2))</f>
        <v>6433</v>
      </c>
      <c r="V43" s="137" t="s">
        <v>18</v>
      </c>
      <c r="W43" s="133" t="s">
        <v>14</v>
      </c>
      <c r="X43" s="133" t="s">
        <v>15</v>
      </c>
      <c r="Y43" s="131" t="s">
        <v>19</v>
      </c>
      <c r="Z43" s="131" t="s">
        <v>16</v>
      </c>
      <c r="AA43" s="131"/>
      <c r="AB43" s="131"/>
      <c r="AC43" s="131"/>
      <c r="AD43" s="131"/>
      <c r="AE43" s="138" t="s">
        <v>22</v>
      </c>
      <c r="AF43" s="133"/>
      <c r="AG43" s="133" t="s">
        <v>14</v>
      </c>
      <c r="AH43" s="133" t="s">
        <v>15</v>
      </c>
      <c r="AI43" s="134" t="s">
        <v>22</v>
      </c>
      <c r="AJ43" s="135"/>
    </row>
    <row r="44" spans="1:36" s="83" customFormat="1" ht="9" customHeight="1">
      <c r="A44" s="89"/>
      <c r="B44" s="90"/>
      <c r="C44" s="90"/>
      <c r="D44" s="109"/>
      <c r="E44" s="91"/>
      <c r="F44" s="91"/>
      <c r="G44" s="92"/>
      <c r="H44" s="93" t="s">
        <v>23</v>
      </c>
      <c r="I44" s="94" t="s">
        <v>26</v>
      </c>
      <c r="J44" s="95" t="str">
        <f>UPPER(IF(OR(I44="a",I44="as"),E43,IF(OR(I44="b",I44="bs"),E45,)))</f>
        <v>HRIBAR</v>
      </c>
      <c r="K44" s="117">
        <f>IF(OR(I44="a",I44="as"),I43,IF(OR(I44="b",I44="bs"),I45,))</f>
        <v>10</v>
      </c>
      <c r="L44" s="76"/>
      <c r="M44" s="115"/>
      <c r="N44" s="115"/>
      <c r="O44" s="115"/>
      <c r="P44" s="80"/>
      <c r="Q44" s="81"/>
      <c r="R44" s="82"/>
      <c r="T44" s="97"/>
      <c r="U44" s="30">
        <f>IF(OR(I44="a",I44="as"),C43,IF(OR(I44="b",I44="bs"),C45,""))</f>
        <v>6456</v>
      </c>
      <c r="V44" s="133"/>
      <c r="W44" s="133"/>
      <c r="X44" s="133"/>
      <c r="Y44" s="131"/>
      <c r="Z44" s="131"/>
      <c r="AA44" s="131"/>
      <c r="AB44" s="131"/>
      <c r="AC44" s="131"/>
      <c r="AD44" s="131"/>
      <c r="AE44" s="138"/>
      <c r="AF44" s="133"/>
      <c r="AG44" s="135"/>
      <c r="AH44" s="135"/>
      <c r="AI44" s="139"/>
      <c r="AJ44" s="135"/>
    </row>
    <row r="45" spans="1:36" s="83" customFormat="1" ht="9" customHeight="1">
      <c r="A45" s="89">
        <v>20</v>
      </c>
      <c r="B45" s="103" t="str">
        <f>UPPER(IF($D45="","",VLOOKUP($D45,'[1]m kvalifikacije žrebna lista'!$A$7:$R$38,17)))</f>
        <v>D</v>
      </c>
      <c r="C45" s="103">
        <f>(IF($D45="","",VLOOKUP($D45,'[1]m kvalifikacije žrebna lista'!$A$7:$R$38,2)))</f>
        <v>6456</v>
      </c>
      <c r="D45" s="74">
        <v>14</v>
      </c>
      <c r="E45" s="104" t="str">
        <f>UPPER(IF($D45="","",VLOOKUP($D45,'[1]m kvalifikacije žrebna lista'!$A$7:$R$38,3)))</f>
        <v>HRIBAR</v>
      </c>
      <c r="F45" s="104" t="str">
        <f>PROPER(IF($D45="","",VLOOKUP($D45,'[1]m kvalifikacije žrebna lista'!$A$7:$R$38,4)))</f>
        <v>Nik</v>
      </c>
      <c r="G45" s="104"/>
      <c r="H45" s="104" t="str">
        <f>UPPER(IF($D45="","",VLOOKUP($D45,'[1]m kvalifikacije žrebna lista'!$A$7:$R$38,5)))</f>
        <v>OTOČE</v>
      </c>
      <c r="I45" s="118">
        <f>IF($D45="","",VLOOKUP($D45,'[1]m kvalifikacije žrebna lista'!$A$7:$R$38,14))</f>
        <v>10</v>
      </c>
      <c r="J45" s="106">
        <v>91</v>
      </c>
      <c r="K45" s="119"/>
      <c r="L45" s="76"/>
      <c r="M45" s="115"/>
      <c r="N45" s="115"/>
      <c r="O45" s="115"/>
      <c r="P45" s="80"/>
      <c r="Q45" s="81"/>
      <c r="R45" s="82"/>
      <c r="T45" s="97"/>
      <c r="U45" s="30">
        <f>IF($D45="","",VLOOKUP($D45,'[1]m kvalifikacije žrebna lista'!$A$7:$R$38,2))</f>
        <v>6456</v>
      </c>
      <c r="V45" s="133">
        <v>1</v>
      </c>
      <c r="W45" s="140" t="str">
        <f>UPPER(IF($D$7="","",VLOOKUP($D$7,'[1]m kvalifikacije žrebna lista'!$A$7:$R$38,3)))</f>
        <v>ČAČIČ</v>
      </c>
      <c r="X45" s="133" t="str">
        <f>PROPER(IF($D$7="","",VLOOKUP($D$7,'[1]m kvalifikacije žrebna lista'!$A$7:$R$38,4)))</f>
        <v>Nino</v>
      </c>
      <c r="Y45" s="141" t="str">
        <f>IF($W$45="","",IF($U$7&lt;&gt;$U$8,"",IF(OR($J$9="bb",$J$9=""),"0",$I$9)))</f>
        <v>0</v>
      </c>
      <c r="Z45" s="131">
        <f>IF($W$45="","",IF($U$10&lt;&gt;$U$7,"",IF(OR($L$11="bb",$L$11=""),"0",$K$12)))</f>
        <v>10</v>
      </c>
      <c r="AA45" s="142"/>
      <c r="AB45" s="142"/>
      <c r="AC45" s="141"/>
      <c r="AD45" s="131"/>
      <c r="AE45" s="143">
        <f aca="true" t="shared" si="2" ref="AE45:AE76">IF($C$2="A turnir",SUM(Y45:AD45),SUM(Y45:AD45)*0.1)</f>
        <v>10</v>
      </c>
      <c r="AF45" s="133">
        <f>IF($C7="","",'m kvalifikacije 32'!$C$7)</f>
        <v>6170</v>
      </c>
      <c r="AG45" s="133" t="str">
        <f>UPPER(IF($D$7="","",VLOOKUP($D$7,'[1]m kvalifikacije žrebna lista'!$A$7:$R$38,3)))</f>
        <v>ČAČIČ</v>
      </c>
      <c r="AH45" s="133" t="str">
        <f>PROPER(IF($D$7="","",VLOOKUP($D$7,'[1]m kvalifikacije žrebna lista'!$A$7:$R$38,4)))</f>
        <v>Nino</v>
      </c>
      <c r="AI45" s="143">
        <f aca="true" t="shared" si="3" ref="AI45:AI76">SUM(AE7,AE45)</f>
        <v>20</v>
      </c>
      <c r="AJ45" s="135"/>
    </row>
    <row r="46" spans="1:36" s="83" customFormat="1" ht="9" customHeight="1">
      <c r="A46" s="89"/>
      <c r="B46" s="90"/>
      <c r="C46" s="90"/>
      <c r="D46" s="109"/>
      <c r="E46" s="76"/>
      <c r="F46" s="76"/>
      <c r="G46" s="120"/>
      <c r="H46" s="121"/>
      <c r="I46" s="110"/>
      <c r="J46" s="76"/>
      <c r="K46" s="119"/>
      <c r="L46" s="93"/>
      <c r="M46" s="122"/>
      <c r="N46" s="123">
        <f>UPPER(IF(OR(M46="a",M46="as"),L42,IF(OR(M46="b",M46="bs"),L50,)))</f>
      </c>
      <c r="O46" s="115"/>
      <c r="P46" s="80"/>
      <c r="Q46" s="81"/>
      <c r="R46" s="82"/>
      <c r="T46" s="97"/>
      <c r="U46" s="30"/>
      <c r="V46" s="133">
        <v>2</v>
      </c>
      <c r="W46" s="133">
        <f>UPPER(IF($D$9="","",VLOOKUP($D$9,'[1]m kvalifikacije žrebna lista'!$A$7:$R$38,3)))</f>
      </c>
      <c r="X46" s="133">
        <f>PROPER(IF($D$9="","",VLOOKUP($D$9,'[1]m kvalifikacije žrebna lista'!$A$7:$R$38,4)))</f>
      </c>
      <c r="Y46" s="131">
        <f>IF(W46="","",IF($U$9&lt;&gt;$U$8,"",IF(OR($J$9="bb",$J$9=""),"0",$I$7)))</f>
      </c>
      <c r="Z46" s="131">
        <f>IF($W$45="","",IF($U$10&lt;&gt;$U$9,"",IF(OR($L$11="bb",$L$11=""),"0",$K$12)))</f>
      </c>
      <c r="AA46" s="131"/>
      <c r="AB46" s="131"/>
      <c r="AC46" s="131"/>
      <c r="AD46" s="131"/>
      <c r="AE46" s="143">
        <f t="shared" si="2"/>
        <v>0</v>
      </c>
      <c r="AF46" s="133">
        <f>IF($C9="","",'m kvalifikacije 32'!$C$7)</f>
      </c>
      <c r="AG46" s="133">
        <f>UPPER(IF($D$9="","",VLOOKUP($D$9,'[1]m kvalifikacije žrebna lista'!$A$7:$R$38,3)))</f>
      </c>
      <c r="AH46" s="133">
        <f>PROPER(IF($D$9="","",VLOOKUP($D$9,'[1]m kvalifikacije žrebna lista'!$A$7:$R$38,4)))</f>
      </c>
      <c r="AI46" s="143">
        <f t="shared" si="3"/>
        <v>0</v>
      </c>
      <c r="AJ46" s="135"/>
    </row>
    <row r="47" spans="1:36" s="83" customFormat="1" ht="9" customHeight="1" thickBot="1">
      <c r="A47" s="72">
        <v>21</v>
      </c>
      <c r="B47" s="73" t="str">
        <f>UPPER(IF($D47="","",VLOOKUP($D47,'[1]m kvalifikacije žrebna lista'!$A$7:$R$38,17)))</f>
        <v>D</v>
      </c>
      <c r="C47" s="73">
        <f>(IF($D47="","",VLOOKUP($D47,'[1]m kvalifikacije žrebna lista'!$A$7:$R$38,2)))</f>
        <v>6789</v>
      </c>
      <c r="D47" s="74">
        <v>6</v>
      </c>
      <c r="E47" s="73" t="str">
        <f>UPPER(IF($D47="","",VLOOKUP($D47,'[1]m kvalifikacije žrebna lista'!$A$7:$R$38,3)))</f>
        <v>KAPLJA</v>
      </c>
      <c r="F47" s="73" t="str">
        <f>PROPER(IF($D47="","",VLOOKUP($D47,'[1]m kvalifikacije žrebna lista'!$A$7:$R$38,4)))</f>
        <v>Aljaž Jakob</v>
      </c>
      <c r="G47" s="104"/>
      <c r="H47" s="73" t="str">
        <f>UPPER(IF($D47="","",VLOOKUP($D47,'[1]m kvalifikacije žrebna lista'!$A$7:$R$38,5)))</f>
        <v>RADOM</v>
      </c>
      <c r="I47" s="124">
        <f>IF($D47="","",VLOOKUP($D47,'[1]m kvalifikacije žrebna lista'!$A$7:$R$38,14))</f>
        <v>10</v>
      </c>
      <c r="J47" s="76"/>
      <c r="K47" s="119"/>
      <c r="L47" s="76"/>
      <c r="M47" s="115"/>
      <c r="N47" s="123"/>
      <c r="O47" s="115"/>
      <c r="P47" s="80"/>
      <c r="Q47" s="81"/>
      <c r="R47" s="82"/>
      <c r="T47" s="125"/>
      <c r="U47" s="30">
        <f>IF($D47="","",VLOOKUP($D47,'[1]m kvalifikacije žrebna lista'!$A$7:$R$38,2))</f>
        <v>6789</v>
      </c>
      <c r="V47" s="133">
        <v>3</v>
      </c>
      <c r="W47" s="133" t="str">
        <f>UPPER(IF($D$11="","",VLOOKUP($D$11,'[1]m kvalifikacije žrebna lista'!$A$7:$R$38,3)))</f>
        <v>FAJFAR</v>
      </c>
      <c r="X47" s="133" t="str">
        <f>PROPER(IF($D$11="","",VLOOKUP($D$11,'[1]m kvalifikacije žrebna lista'!$A$7:$R$38,4)))</f>
        <v>Tine</v>
      </c>
      <c r="Y47" s="131">
        <f>IF(W47="","",IF($U$11&lt;&gt;$U$12,"",IF(OR($J$13="bb",$J$13=""),"0",$I$13)))</f>
      </c>
      <c r="Z47" s="131">
        <f>IF($W$45="","",IF($U$10&lt;&gt;$U$11,"",IF(OR($L$11="bb",$L$11=""),"0",$K$8)))</f>
      </c>
      <c r="AA47" s="131"/>
      <c r="AB47" s="131"/>
      <c r="AC47" s="131"/>
      <c r="AD47" s="131"/>
      <c r="AE47" s="143">
        <f t="shared" si="2"/>
        <v>0</v>
      </c>
      <c r="AF47" s="133">
        <f>IF($C11="","",'m kvalifikacije 32'!$C$7)</f>
        <v>6170</v>
      </c>
      <c r="AG47" s="133" t="str">
        <f>UPPER(IF($D$11="","",VLOOKUP($D$11,'[1]m kvalifikacije žrebna lista'!$A$7:$R$38,3)))</f>
        <v>FAJFAR</v>
      </c>
      <c r="AH47" s="133" t="str">
        <f>PROPER(IF($D$11="","",VLOOKUP($D$11,'[1]m kvalifikacije žrebna lista'!$A$7:$R$38,4)))</f>
        <v>Tine</v>
      </c>
      <c r="AI47" s="143">
        <f t="shared" si="3"/>
        <v>6</v>
      </c>
      <c r="AJ47" s="135"/>
    </row>
    <row r="48" spans="1:36" s="83" customFormat="1" ht="9" customHeight="1">
      <c r="A48" s="89"/>
      <c r="B48" s="90"/>
      <c r="C48" s="90"/>
      <c r="D48" s="109"/>
      <c r="E48" s="91"/>
      <c r="F48" s="91"/>
      <c r="G48" s="92"/>
      <c r="H48" s="93" t="s">
        <v>23</v>
      </c>
      <c r="I48" s="94" t="s">
        <v>24</v>
      </c>
      <c r="J48" s="95" t="str">
        <f>UPPER(IF(OR(I48="a",I48="as"),E47,IF(OR(I48="b",I48="bs"),E49,)))</f>
        <v>KAPLJA</v>
      </c>
      <c r="K48" s="96">
        <f>IF(OR(I48="a",I48="as"),I47,IF(OR(I48="b",I48="bs"),I49,))</f>
        <v>10</v>
      </c>
      <c r="L48" s="76"/>
      <c r="M48" s="115"/>
      <c r="N48" s="115"/>
      <c r="O48" s="115"/>
      <c r="P48" s="80"/>
      <c r="Q48" s="81"/>
      <c r="R48" s="82"/>
      <c r="U48" s="30">
        <f>IF(OR(I48="a",I48="as"),C47,IF(OR(I48="b",I48="bs"),C49,""))</f>
        <v>6789</v>
      </c>
      <c r="V48" s="133">
        <v>4</v>
      </c>
      <c r="W48" s="133" t="str">
        <f>UPPER(IF($D$13="","",VLOOKUP($D$13,'[1]m kvalifikacije žrebna lista'!$A$7:$R$38,3)))</f>
        <v>TRAJKOVSKI </v>
      </c>
      <c r="X48" s="133" t="str">
        <f>PROPER(IF($D$13="","",VLOOKUP($D$13,'[1]m kvalifikacije žrebna lista'!$A$7:$R$38,4)))</f>
        <v>Andrej</v>
      </c>
      <c r="Y48" s="131">
        <f>IF(W48="","",IF($U$12&lt;&gt;$U$13,"",IF(OR($J$13="bb",$J$13=""),"0",$I$11)))</f>
        <v>10</v>
      </c>
      <c r="Z48" s="131">
        <f>IF($W$45="","",IF($U$10&lt;&gt;$U$13,"",IF(OR($L$11="bb",$L$11=""),"0",$K$8)))</f>
      </c>
      <c r="AA48" s="131"/>
      <c r="AB48" s="131"/>
      <c r="AC48" s="131"/>
      <c r="AD48" s="131"/>
      <c r="AE48" s="143">
        <f t="shared" si="2"/>
        <v>10</v>
      </c>
      <c r="AF48" s="133">
        <f>IF($C13="","",'m kvalifikacije 32'!$C$7)</f>
        <v>6170</v>
      </c>
      <c r="AG48" s="133" t="str">
        <f>UPPER(IF($D$13="","",VLOOKUP($D$13,'[1]m kvalifikacije žrebna lista'!$A$7:$R$38,3)))</f>
        <v>TRAJKOVSKI </v>
      </c>
      <c r="AH48" s="133" t="str">
        <f>PROPER(IF($D$13="","",VLOOKUP($D$13,'[1]m kvalifikacije žrebna lista'!$A$7:$R$38,4)))</f>
        <v>Andrej</v>
      </c>
      <c r="AI48" s="143">
        <f t="shared" si="3"/>
        <v>18</v>
      </c>
      <c r="AJ48" s="135"/>
    </row>
    <row r="49" spans="1:36" s="83" customFormat="1" ht="9" customHeight="1">
      <c r="A49" s="89">
        <v>22</v>
      </c>
      <c r="B49" s="103">
        <f>UPPER(IF($D49="","",VLOOKUP($D49,'[1]m kvalifikacije žrebna lista'!$A$7:$R$38,17)))</f>
      </c>
      <c r="C49" s="103">
        <f>(IF($D49="","",VLOOKUP($D49,'[1]m kvalifikacije žrebna lista'!$A$7:$R$38,2)))</f>
      </c>
      <c r="D49" s="74"/>
      <c r="E49" s="104" t="s">
        <v>25</v>
      </c>
      <c r="F49" s="104">
        <f>PROPER(IF($D49="","",VLOOKUP($D49,'[1]m kvalifikacije žrebna lista'!$A$7:$R$38,4)))</f>
      </c>
      <c r="G49" s="104"/>
      <c r="H49" s="104">
        <f>UPPER(IF($D49="","",VLOOKUP($D49,'[1]m kvalifikacije žrebna lista'!$A$7:$R$38,5)))</f>
      </c>
      <c r="I49" s="105">
        <f>IF($D49="","",VLOOKUP($D49,'[1]m kvalifikacije žrebna lista'!$A$7:$R$38,14))</f>
      </c>
      <c r="J49" s="106"/>
      <c r="K49" s="107"/>
      <c r="L49" s="76"/>
      <c r="M49" s="115"/>
      <c r="N49" s="115"/>
      <c r="O49" s="115"/>
      <c r="P49" s="80"/>
      <c r="Q49" s="81"/>
      <c r="R49" s="82"/>
      <c r="U49" s="30">
        <f>IF($D49="","",VLOOKUP($D49,'[1]m kvalifikacije žrebna lista'!$A$7:$R$38,2))</f>
      </c>
      <c r="V49" s="133">
        <v>5</v>
      </c>
      <c r="W49" s="133" t="str">
        <f>UPPER(IF($D$15="","",VLOOKUP($D$15,'[1]m kvalifikacije žrebna lista'!$A$7:$R$38,3)))</f>
        <v>FRANK</v>
      </c>
      <c r="X49" s="133" t="str">
        <f>PROPER(IF($D$15="","",VLOOKUP($D$15,'[1]m kvalifikacije žrebna lista'!$A$7:$R$38,4)))</f>
        <v>Jure</v>
      </c>
      <c r="Y49" s="131" t="str">
        <f>IF(W49="","",IF($U$16&lt;&gt;$U$15,"",IF(OR($J$17="bb",$J$17=""),"0",$I$17)))</f>
        <v>0</v>
      </c>
      <c r="Z49" s="131">
        <f>IF($W$45="","",IF($U$18&lt;&gt;$U$15,"",IF(OR($L$19="bb",$L$19=""),"0",$K$20)))</f>
        <v>10</v>
      </c>
      <c r="AA49" s="131"/>
      <c r="AB49" s="131"/>
      <c r="AC49" s="131"/>
      <c r="AD49" s="131"/>
      <c r="AE49" s="143">
        <f t="shared" si="2"/>
        <v>10</v>
      </c>
      <c r="AF49" s="133">
        <f>IF($C15="","",'m kvalifikacije 32'!$C$7)</f>
        <v>6170</v>
      </c>
      <c r="AG49" s="133" t="str">
        <f>UPPER(IF($D$15="","",VLOOKUP($D$15,'[1]m kvalifikacije žrebna lista'!$A$7:$R$38,3)))</f>
        <v>FRANK</v>
      </c>
      <c r="AH49" s="133" t="str">
        <f>PROPER(IF($D$15="","",VLOOKUP($D$15,'[1]m kvalifikacije žrebna lista'!$A$7:$R$38,4)))</f>
        <v>Jure</v>
      </c>
      <c r="AI49" s="143">
        <f t="shared" si="3"/>
        <v>20</v>
      </c>
      <c r="AJ49" s="135"/>
    </row>
    <row r="50" spans="1:36" s="83" customFormat="1" ht="9" customHeight="1">
      <c r="A50" s="89"/>
      <c r="B50" s="90"/>
      <c r="C50" s="90"/>
      <c r="D50" s="109"/>
      <c r="E50" s="91"/>
      <c r="F50" s="91"/>
      <c r="G50" s="92"/>
      <c r="H50" s="93"/>
      <c r="I50" s="110"/>
      <c r="J50" s="93" t="s">
        <v>23</v>
      </c>
      <c r="K50" s="111" t="s">
        <v>24</v>
      </c>
      <c r="L50" s="95" t="str">
        <f>UPPER(IF(OR(K50="a",K50="as"),J48,IF(OR(K50="b",K50="bs"),J52,)))</f>
        <v>KAPLJA</v>
      </c>
      <c r="M50" s="112"/>
      <c r="N50" s="113"/>
      <c r="O50" s="115"/>
      <c r="P50" s="80"/>
      <c r="Q50" s="81"/>
      <c r="R50" s="82"/>
      <c r="U50" s="30">
        <f>IF(OR(K50="a",K50="as"),$U$48,IF(OR(K50="b",K50="bs"),U52,""))</f>
        <v>6789</v>
      </c>
      <c r="V50" s="133">
        <v>6</v>
      </c>
      <c r="W50" s="133">
        <f>UPPER(IF($D$17="","",VLOOKUP($D$17,'[1]m kvalifikacije žrebna lista'!$A$7:$R$38,3)))</f>
      </c>
      <c r="X50" s="133">
        <f>PROPER(IF($D$17="","",VLOOKUP($D$17,'[1]m kvalifikacije žrebna lista'!$A$7:$R$38,4)))</f>
      </c>
      <c r="Y50" s="131">
        <f>IF(W50="","",IF($U$16&lt;&gt;$U$17,"",IF(OR($J$17="bb",$J$17=""),"0",$I$15)))</f>
      </c>
      <c r="Z50" s="131">
        <f>IF($W$45="","",IF($U$18&lt;&gt;$U$17,"",IF(OR($L$19="bb",$L$19=""),"0",$K$20)))</f>
      </c>
      <c r="AA50" s="131"/>
      <c r="AB50" s="131"/>
      <c r="AC50" s="131"/>
      <c r="AD50" s="131"/>
      <c r="AE50" s="143">
        <f t="shared" si="2"/>
        <v>0</v>
      </c>
      <c r="AF50" s="133">
        <f>IF($C17="","",'m kvalifikacije 32'!$C$7)</f>
      </c>
      <c r="AG50" s="133">
        <f>UPPER(IF($D$17="","",VLOOKUP($D$17,'[1]m kvalifikacije žrebna lista'!$A$7:$R$38,3)))</f>
      </c>
      <c r="AH50" s="133">
        <f>PROPER(IF($D$17="","",VLOOKUP($D$17,'[1]m kvalifikacije žrebna lista'!$A$7:$R$38,4)))</f>
      </c>
      <c r="AI50" s="143">
        <f t="shared" si="3"/>
        <v>0</v>
      </c>
      <c r="AJ50" s="135"/>
    </row>
    <row r="51" spans="1:36" s="83" customFormat="1" ht="9" customHeight="1">
      <c r="A51" s="89">
        <v>23</v>
      </c>
      <c r="B51" s="103" t="str">
        <f>UPPER(IF($D51="","",VLOOKUP($D51,'[1]m kvalifikacije žrebna lista'!$A$7:$R$38,17)))</f>
        <v>D</v>
      </c>
      <c r="C51" s="103">
        <f>(IF($D51="","",VLOOKUP($D51,'[1]m kvalifikacije žrebna lista'!$A$7:$R$38,2)))</f>
        <v>6220</v>
      </c>
      <c r="D51" s="74">
        <v>10</v>
      </c>
      <c r="E51" s="104" t="str">
        <f>UPPER(IF($D51="","",VLOOKUP($D51,'[1]m kvalifikacije žrebna lista'!$A$7:$R$38,3)))</f>
        <v>POGLAJEN</v>
      </c>
      <c r="F51" s="104" t="str">
        <f>PROPER(IF($D51="","",VLOOKUP($D51,'[1]m kvalifikacije žrebna lista'!$A$7:$R$38,4)))</f>
        <v>Tim</v>
      </c>
      <c r="G51" s="104"/>
      <c r="H51" s="104" t="str">
        <f>UPPER(IF($D51="","",VLOOKUP($D51,'[1]m kvalifikacije žrebna lista'!$A$7:$R$38,5)))</f>
        <v>ASLIT</v>
      </c>
      <c r="I51" s="75">
        <f>IF($D51="","",VLOOKUP($D51,'[1]m kvalifikacije žrebna lista'!$A$7:$R$38,14))</f>
        <v>10</v>
      </c>
      <c r="J51" s="76"/>
      <c r="K51" s="114"/>
      <c r="L51" s="106">
        <v>95</v>
      </c>
      <c r="M51" s="113"/>
      <c r="N51" s="113"/>
      <c r="O51" s="113"/>
      <c r="P51" s="80"/>
      <c r="Q51" s="81"/>
      <c r="R51" s="82"/>
      <c r="U51" s="30">
        <f>IF($D51="","",VLOOKUP($D51,'[1]m kvalifikacije žrebna lista'!$A$7:$R$38,2))</f>
        <v>6220</v>
      </c>
      <c r="V51" s="133">
        <v>7</v>
      </c>
      <c r="W51" s="133" t="str">
        <f>UPPER(IF($D$19="","",VLOOKUP($D$19,'[1]m kvalifikacije žrebna lista'!$A$7:$R$38,3)))</f>
        <v>FERJAN</v>
      </c>
      <c r="X51" s="133" t="str">
        <f>PROPER(IF($D$19="","",VLOOKUP($D$19,'[1]m kvalifikacije žrebna lista'!$A$7:$R$38,4)))</f>
        <v>Nejc</v>
      </c>
      <c r="Y51" s="131">
        <f>IF(W51="","",IF($U$20&lt;&gt;$U$19,"",IF(OR($J$21="bb",$J$21=""),"0",$I$21)))</f>
        <v>10</v>
      </c>
      <c r="Z51" s="131">
        <f>IF($W$45="","",IF($U$18&lt;&gt;$U$19,"",IF(OR($L$19="bb",$L$19=""),"0",$K$16)))</f>
      </c>
      <c r="AA51" s="131"/>
      <c r="AB51" s="131"/>
      <c r="AC51" s="131"/>
      <c r="AD51" s="131"/>
      <c r="AE51" s="143">
        <f t="shared" si="2"/>
        <v>10</v>
      </c>
      <c r="AF51" s="133">
        <f>IF($C19="","",'m kvalifikacije 32'!$C$7)</f>
        <v>6170</v>
      </c>
      <c r="AG51" s="133" t="str">
        <f>UPPER(IF($D$19="","",VLOOKUP($D$19,'[1]m kvalifikacije žrebna lista'!$A$7:$R$38,3)))</f>
        <v>FERJAN</v>
      </c>
      <c r="AH51" s="133" t="str">
        <f>PROPER(IF($D$19="","",VLOOKUP($D$19,'[1]m kvalifikacije žrebna lista'!$A$7:$R$38,4)))</f>
        <v>Nejc</v>
      </c>
      <c r="AI51" s="143">
        <f t="shared" si="3"/>
        <v>18</v>
      </c>
      <c r="AJ51" s="135"/>
    </row>
    <row r="52" spans="1:36" s="83" customFormat="1" ht="9" customHeight="1">
      <c r="A52" s="89"/>
      <c r="B52" s="90"/>
      <c r="C52" s="90"/>
      <c r="D52" s="90"/>
      <c r="E52" s="91"/>
      <c r="F52" s="91"/>
      <c r="G52" s="92"/>
      <c r="H52" s="93" t="s">
        <v>23</v>
      </c>
      <c r="I52" s="94" t="s">
        <v>27</v>
      </c>
      <c r="J52" s="95" t="str">
        <f>UPPER(IF(OR(I52="a",I52="as"),E51,IF(OR(I52="b",I52="bs"),E53,)))</f>
        <v>POGLAJEN</v>
      </c>
      <c r="K52" s="117">
        <f>IF(OR(I52="a",I52="as"),I51,IF(OR(I52="b",I52="bs"),I53,))</f>
        <v>10</v>
      </c>
      <c r="L52" s="76"/>
      <c r="M52" s="113"/>
      <c r="N52" s="113"/>
      <c r="O52" s="113"/>
      <c r="P52" s="80"/>
      <c r="Q52" s="81"/>
      <c r="R52" s="82"/>
      <c r="U52" s="30">
        <f>IF(OR(I52="a",I52="as"),C51,IF(OR(I52="b",I52="bs"),C53,""))</f>
        <v>6220</v>
      </c>
      <c r="V52" s="133">
        <v>8</v>
      </c>
      <c r="W52" s="133" t="str">
        <f>UPPER(IF($D$21="","",VLOOKUP($D$21,'[1]m kvalifikacije žrebna lista'!$A$7:$R$38,3)))</f>
        <v>MILEUSNIČ</v>
      </c>
      <c r="X52" s="133" t="str">
        <f>PROPER(IF($D$21="","",VLOOKUP($D$21,'[1]m kvalifikacije žrebna lista'!$A$7:$R$38,4)))</f>
        <v>Gregor</v>
      </c>
      <c r="Y52" s="131">
        <f>IF(W52="","",IF($U$20&lt;&gt;$U$21,"",IF(OR($J$21="bb",$J$21=""),"0",$I$19)))</f>
      </c>
      <c r="Z52" s="131">
        <f>IF($W$45="","",IF($U$18&lt;&gt;$U$21,"",IF(OR($L$19="bb",$L$19=""),"0",$K$16)))</f>
      </c>
      <c r="AA52" s="131"/>
      <c r="AB52" s="131"/>
      <c r="AC52" s="131"/>
      <c r="AD52" s="131"/>
      <c r="AE52" s="143">
        <f t="shared" si="2"/>
        <v>0</v>
      </c>
      <c r="AF52" s="133">
        <f>IF($C21="","",'m kvalifikacije 32'!$C$7)</f>
        <v>6170</v>
      </c>
      <c r="AG52" s="133" t="str">
        <f>UPPER(IF($D$21="","",VLOOKUP($D$21,'[1]m kvalifikacije žrebna lista'!$A$7:$R$38,3)))</f>
        <v>MILEUSNIČ</v>
      </c>
      <c r="AH52" s="133" t="str">
        <f>PROPER(IF($D$21="","",VLOOKUP($D$21,'[1]m kvalifikacije žrebna lista'!$A$7:$R$38,4)))</f>
        <v>Gregor</v>
      </c>
      <c r="AI52" s="143">
        <f t="shared" si="3"/>
        <v>6</v>
      </c>
      <c r="AJ52" s="135"/>
    </row>
    <row r="53" spans="1:36" s="83" customFormat="1" ht="9" customHeight="1">
      <c r="A53" s="89">
        <v>24</v>
      </c>
      <c r="B53" s="103" t="str">
        <f>UPPER(IF($D53="","",VLOOKUP($D53,'[1]m kvalifikacije žrebna lista'!$A$7:$R$38,17)))</f>
        <v>D</v>
      </c>
      <c r="C53" s="103">
        <f>(IF($D53="","",VLOOKUP($D53,'[1]m kvalifikacije žrebna lista'!$A$7:$R$38,2)))</f>
        <v>7297</v>
      </c>
      <c r="D53" s="74">
        <v>13</v>
      </c>
      <c r="E53" s="104" t="str">
        <f>UPPER(IF($D53="","",VLOOKUP($D53,'[1]m kvalifikacije žrebna lista'!$A$7:$R$38,3)))</f>
        <v>JUŽNIČ</v>
      </c>
      <c r="F53" s="104" t="str">
        <f>PROPER(IF($D53="","",VLOOKUP($D53,'[1]m kvalifikacije žrebna lista'!$A$7:$R$38,4)))</f>
        <v>David</v>
      </c>
      <c r="G53" s="73"/>
      <c r="H53" s="104" t="str">
        <f>UPPER(IF($D53="","",VLOOKUP($D53,'[1]m kvalifikacije žrebna lista'!$A$7:$R$38,5)))</f>
        <v>KOČEV</v>
      </c>
      <c r="I53" s="118">
        <f>IF($D53="","",VLOOKUP($D53,'[1]m kvalifikacije žrebna lista'!$A$7:$R$38,14))</f>
        <v>10</v>
      </c>
      <c r="J53" s="106">
        <v>90</v>
      </c>
      <c r="K53" s="119"/>
      <c r="L53" s="76"/>
      <c r="M53" s="113"/>
      <c r="N53" s="113"/>
      <c r="O53" s="113"/>
      <c r="P53" s="80"/>
      <c r="Q53" s="81"/>
      <c r="R53" s="82"/>
      <c r="U53" s="30">
        <f>IF($D53="","",VLOOKUP($D53,'[1]m kvalifikacije žrebna lista'!$A$7:$R$38,2))</f>
        <v>7297</v>
      </c>
      <c r="V53" s="133">
        <v>9</v>
      </c>
      <c r="W53" s="133" t="str">
        <f>UPPER(IF($D$23="","",VLOOKUP($D$23,'[1]m kvalifikacije žrebna lista'!$A$7:$R$38,3)))</f>
        <v>ŽMAVC</v>
      </c>
      <c r="X53" s="133" t="str">
        <f>PROPER(IF($D$23="","",VLOOKUP($D$23,'[1]m kvalifikacije žrebna lista'!$A$7:$R$38,4)))</f>
        <v>Žan</v>
      </c>
      <c r="Y53" s="131" t="str">
        <f>IF(W53="","",IF($U$24&lt;&gt;$U$23,"",IF(OR($J$25="bb",$J$25=""),"0",$I$25)))</f>
        <v>0</v>
      </c>
      <c r="Z53" s="131">
        <f>IF($W$45="","",IF($U$26&lt;&gt;$U$23,"",IF(OR($L$27="bb",$L$27=""),"0",$K$28)))</f>
        <v>10</v>
      </c>
      <c r="AA53" s="131"/>
      <c r="AB53" s="131"/>
      <c r="AC53" s="131"/>
      <c r="AD53" s="131"/>
      <c r="AE53" s="143">
        <f t="shared" si="2"/>
        <v>10</v>
      </c>
      <c r="AF53" s="133">
        <f>IF($C23="","",'m kvalifikacije 32'!$C$7)</f>
        <v>6170</v>
      </c>
      <c r="AG53" s="133" t="str">
        <f>UPPER(IF($D$23="","",VLOOKUP($D$23,'[1]m kvalifikacije žrebna lista'!$A$7:$R$38,3)))</f>
        <v>ŽMAVC</v>
      </c>
      <c r="AH53" s="133" t="str">
        <f>PROPER(IF($D$23="","",VLOOKUP($D$23,'[1]m kvalifikacije žrebna lista'!$A$7:$R$38,4)))</f>
        <v>Žan</v>
      </c>
      <c r="AI53" s="143">
        <f t="shared" si="3"/>
        <v>20</v>
      </c>
      <c r="AJ53" s="135"/>
    </row>
    <row r="54" spans="1:36" s="83" customFormat="1" ht="9" customHeight="1">
      <c r="A54" s="89"/>
      <c r="B54" s="90"/>
      <c r="C54" s="90"/>
      <c r="D54" s="90"/>
      <c r="E54" s="121"/>
      <c r="F54" s="121"/>
      <c r="G54" s="126"/>
      <c r="H54" s="121"/>
      <c r="I54" s="110"/>
      <c r="J54" s="76"/>
      <c r="K54" s="119"/>
      <c r="L54" s="76"/>
      <c r="M54" s="113"/>
      <c r="N54" s="113"/>
      <c r="O54" s="113"/>
      <c r="P54" s="80"/>
      <c r="Q54" s="81"/>
      <c r="R54" s="82"/>
      <c r="U54" s="30"/>
      <c r="V54" s="133">
        <v>10</v>
      </c>
      <c r="W54" s="133">
        <f>UPPER(IF($D$25="","",VLOOKUP($D$25,'[1]m kvalifikacije žrebna lista'!$A$7:$R$38,3)))</f>
      </c>
      <c r="X54" s="133">
        <f>PROPER(IF($D$25="","",VLOOKUP($D$25,'[1]m kvalifikacije žrebna lista'!$A$7:$R$38,4)))</f>
      </c>
      <c r="Y54" s="131">
        <f>IF(W54="","",IF($U$24&lt;&gt;$U$25,"",IF(OR($J$25="bb",$J$25=""),"0",$I$23)))</f>
      </c>
      <c r="Z54" s="131">
        <f>IF($W$45="","",IF($U$26&lt;&gt;$U$25,"",IF(OR($L$27="bb",$L$27=""),"0",$K$28)))</f>
      </c>
      <c r="AA54" s="131"/>
      <c r="AB54" s="131"/>
      <c r="AC54" s="131"/>
      <c r="AD54" s="131"/>
      <c r="AE54" s="143">
        <f t="shared" si="2"/>
        <v>0</v>
      </c>
      <c r="AF54" s="133">
        <f>IF($C25="","",'m kvalifikacije 32'!$C$7)</f>
      </c>
      <c r="AG54" s="133">
        <f>UPPER(IF($D$25="","",VLOOKUP($D$25,'[1]m kvalifikacije žrebna lista'!$A$7:$R$38,3)))</f>
      </c>
      <c r="AH54" s="133">
        <f>PROPER(IF($D$25="","",VLOOKUP($D$25,'[1]m kvalifikacije žrebna lista'!$A$7:$R$38,4)))</f>
      </c>
      <c r="AI54" s="143">
        <f t="shared" si="3"/>
        <v>0</v>
      </c>
      <c r="AJ54" s="135"/>
    </row>
    <row r="55" spans="1:36" s="83" customFormat="1" ht="9" customHeight="1">
      <c r="A55" s="72">
        <v>25</v>
      </c>
      <c r="B55" s="73" t="str">
        <f>UPPER(IF($D55="","",VLOOKUP($D55,'[1]m kvalifikacije žrebna lista'!$A$7:$R$38,17)))</f>
        <v>D</v>
      </c>
      <c r="C55" s="73">
        <f>(IF($D55="","",VLOOKUP($D55,'[1]m kvalifikacije žrebna lista'!$A$7:$R$38,2)))</f>
        <v>6030</v>
      </c>
      <c r="D55" s="74">
        <v>7</v>
      </c>
      <c r="E55" s="73" t="str">
        <f>UPPER(IF($D55="","",VLOOKUP($D55,'[1]m kvalifikacije žrebna lista'!$A$7:$R$38,3)))</f>
        <v>HOBACHER</v>
      </c>
      <c r="F55" s="73" t="str">
        <f>PROPER(IF($D55="","",VLOOKUP($D55,'[1]m kvalifikacije žrebna lista'!$A$7:$R$38,4)))</f>
        <v>Dominik</v>
      </c>
      <c r="G55" s="73"/>
      <c r="H55" s="73" t="str">
        <f>UPPER(IF($D55="","",VLOOKUP($D55,'[1]m kvalifikacije žrebna lista'!$A$7:$R$38,5)))</f>
        <v>TKCEN</v>
      </c>
      <c r="I55" s="75">
        <f>IF($D55="","",VLOOKUP($D55,'[1]m kvalifikacije žrebna lista'!$A$7:$R$38,14))</f>
        <v>10</v>
      </c>
      <c r="J55" s="76"/>
      <c r="K55" s="119"/>
      <c r="L55" s="76"/>
      <c r="M55" s="113"/>
      <c r="N55" s="113"/>
      <c r="O55" s="113"/>
      <c r="P55" s="80"/>
      <c r="Q55" s="81"/>
      <c r="R55" s="82"/>
      <c r="U55" s="30">
        <f>IF($D55="","",VLOOKUP($D55,'[1]m kvalifikacije žrebna lista'!$A$7:$R$38,2))</f>
        <v>6030</v>
      </c>
      <c r="V55" s="133">
        <v>11</v>
      </c>
      <c r="W55" s="133" t="str">
        <f>UPPER(IF($D$27="","",VLOOKUP($D$27,'[1]m kvalifikacije žrebna lista'!$A$7:$R$38,3)))</f>
        <v>REBEC</v>
      </c>
      <c r="X55" s="133" t="str">
        <f>PROPER(IF($D$27="","",VLOOKUP($D$27,'[1]m kvalifikacije žrebna lista'!$A$7:$R$38,4)))</f>
        <v>Nik</v>
      </c>
      <c r="Y55" s="131">
        <f>IF(W55="","",IF($U$28&lt;&gt;$U$27,"",IF(OR($J$29="bb",$J$29=""),"0",$I$29)))</f>
      </c>
      <c r="Z55" s="131">
        <f>IF($W$45="","",IF($U$26&lt;&gt;$U$27,"",IF(OR($L$27="bb",$L$27=""),"0",$K$24)))</f>
      </c>
      <c r="AA55" s="131"/>
      <c r="AB55" s="131"/>
      <c r="AC55" s="131"/>
      <c r="AD55" s="131"/>
      <c r="AE55" s="143">
        <f t="shared" si="2"/>
        <v>0</v>
      </c>
      <c r="AF55" s="133">
        <f>IF($C27="","",'m kvalifikacije 32'!$C$7)</f>
        <v>6170</v>
      </c>
      <c r="AG55" s="133" t="str">
        <f>UPPER(IF($D$27="","",VLOOKUP($D$27,'[1]m kvalifikacije žrebna lista'!$A$7:$R$38,3)))</f>
        <v>REBEC</v>
      </c>
      <c r="AH55" s="133" t="str">
        <f>PROPER(IF($D$27="","",VLOOKUP($D$27,'[1]m kvalifikacije žrebna lista'!$A$7:$R$38,4)))</f>
        <v>Nik</v>
      </c>
      <c r="AI55" s="143">
        <f t="shared" si="3"/>
        <v>6</v>
      </c>
      <c r="AJ55" s="135"/>
    </row>
    <row r="56" spans="1:36" s="83" customFormat="1" ht="9" customHeight="1">
      <c r="A56" s="89"/>
      <c r="B56" s="90"/>
      <c r="C56" s="90"/>
      <c r="D56" s="90"/>
      <c r="E56" s="91"/>
      <c r="F56" s="91"/>
      <c r="G56" s="92"/>
      <c r="H56" s="93" t="s">
        <v>23</v>
      </c>
      <c r="I56" s="94" t="s">
        <v>24</v>
      </c>
      <c r="J56" s="95" t="str">
        <f>UPPER(IF(OR(I56="a",I56="as"),E55,IF(OR(I56="b",I56="bs"),E57,)))</f>
        <v>HOBACHER</v>
      </c>
      <c r="K56" s="96">
        <f>IF(OR(I56="a",I56="as"),I55,IF(OR(I56="b",I56="bs"),I57,))</f>
        <v>10</v>
      </c>
      <c r="L56" s="76"/>
      <c r="M56" s="113"/>
      <c r="N56" s="113"/>
      <c r="O56" s="113"/>
      <c r="P56" s="80"/>
      <c r="Q56" s="81"/>
      <c r="R56" s="82"/>
      <c r="U56" s="30">
        <f>IF(OR(I56="a",I56="as"),C55,IF(OR(I56="b",I56="bs"),C57,""))</f>
        <v>6030</v>
      </c>
      <c r="V56" s="133">
        <v>12</v>
      </c>
      <c r="W56" s="133" t="str">
        <f>UPPER(IF($D$29="","",VLOOKUP($D$29,'[1]m kvalifikacije žrebna lista'!$A$7:$R$38,3)))</f>
        <v>POGLAJEN</v>
      </c>
      <c r="X56" s="133" t="str">
        <f>PROPER(IF($D$29="","",VLOOKUP($D$29,'[1]m kvalifikacije žrebna lista'!$A$7:$R$38,4)))</f>
        <v>Nik</v>
      </c>
      <c r="Y56" s="131">
        <f>IF(W56="","",IF($U$28&lt;&gt;$U$29,"",IF(OR($J$29="bb",$J$29=""),"0",$I$27)))</f>
        <v>10</v>
      </c>
      <c r="Z56" s="131">
        <f>IF($W$45="","",IF($U$26&lt;&gt;$U$29,"",IF(OR($L$27="bb",$L$27=""),"0",$K$24)))</f>
      </c>
      <c r="AA56" s="131"/>
      <c r="AB56" s="131"/>
      <c r="AC56" s="131"/>
      <c r="AD56" s="131"/>
      <c r="AE56" s="143">
        <f t="shared" si="2"/>
        <v>10</v>
      </c>
      <c r="AF56" s="133">
        <f>IF($C29="","",'m kvalifikacije 32'!$C$7)</f>
        <v>6170</v>
      </c>
      <c r="AG56" s="133" t="str">
        <f>UPPER(IF($D$29="","",VLOOKUP($D$29,'[1]m kvalifikacije žrebna lista'!$A$7:$R$38,3)))</f>
        <v>POGLAJEN</v>
      </c>
      <c r="AH56" s="133" t="str">
        <f>PROPER(IF($D$29="","",VLOOKUP($D$29,'[1]m kvalifikacije žrebna lista'!$A$7:$R$38,4)))</f>
        <v>Nik</v>
      </c>
      <c r="AI56" s="143">
        <f t="shared" si="3"/>
        <v>18</v>
      </c>
      <c r="AJ56" s="135"/>
    </row>
    <row r="57" spans="1:36" s="83" customFormat="1" ht="9" customHeight="1">
      <c r="A57" s="89">
        <v>26</v>
      </c>
      <c r="B57" s="103">
        <f>UPPER(IF($D57="","",VLOOKUP($D57,'[1]m kvalifikacije žrebna lista'!$A$7:$R$38,17)))</f>
      </c>
      <c r="C57" s="103">
        <f>(IF($D57="","",VLOOKUP($D57,'[1]m kvalifikacije žrebna lista'!$A$7:$R$38,2)))</f>
      </c>
      <c r="D57" s="74"/>
      <c r="E57" s="104" t="s">
        <v>25</v>
      </c>
      <c r="F57" s="104">
        <f>PROPER(IF($D57="","",VLOOKUP($D57,'[1]m kvalifikacije žrebna lista'!$A$7:$R$38,4)))</f>
      </c>
      <c r="G57" s="104"/>
      <c r="H57" s="104">
        <f>UPPER(IF($D57="","",VLOOKUP($D57,'[1]m kvalifikacije žrebna lista'!$A$7:$R$38,5)))</f>
      </c>
      <c r="I57" s="105">
        <f>IF($D57="","",VLOOKUP($D57,'[1]m kvalifikacije žrebna lista'!$A$7:$R$38,14))</f>
      </c>
      <c r="J57" s="106"/>
      <c r="K57" s="107"/>
      <c r="L57" s="76"/>
      <c r="M57" s="113"/>
      <c r="N57" s="113"/>
      <c r="O57" s="113"/>
      <c r="P57" s="80"/>
      <c r="Q57" s="81"/>
      <c r="R57" s="82"/>
      <c r="U57" s="30">
        <f>IF($D57="","",VLOOKUP($D57,'[1]m kvalifikacije žrebna lista'!$A$7:$R$38,2))</f>
      </c>
      <c r="V57" s="133">
        <v>13</v>
      </c>
      <c r="W57" s="133" t="str">
        <f>UPPER(IF($D$31="","",VLOOKUP($D$31,'[1]m kvalifikacije žrebna lista'!$A$7:$R$38,3)))</f>
        <v>NIKOLAŠ</v>
      </c>
      <c r="X57" s="133" t="str">
        <f>PROPER(IF($D$31="","",VLOOKUP($D$31,'[1]m kvalifikacije žrebna lista'!$A$7:$R$38,4)))</f>
        <v>Klemen</v>
      </c>
      <c r="Y57" s="131" t="str">
        <f>IF(W57="","",IF($U$32&lt;&gt;$U$31,"",IF(OR($J$33="bb",$J$33=""),"0",$I$33)))</f>
        <v>0</v>
      </c>
      <c r="Z57" s="131">
        <f>IF($W$45="","",IF($U$34&lt;&gt;$U$31,"",IF(OR($L$35="bb",$L$35=""),"0",$K$36)))</f>
      </c>
      <c r="AA57" s="131"/>
      <c r="AB57" s="131"/>
      <c r="AC57" s="131"/>
      <c r="AD57" s="131"/>
      <c r="AE57" s="143">
        <f t="shared" si="2"/>
        <v>0</v>
      </c>
      <c r="AF57" s="133">
        <f>IF($C31="","",'m kvalifikacije 32'!$C$7)</f>
        <v>6170</v>
      </c>
      <c r="AG57" s="133" t="str">
        <f>UPPER(IF($D$31="","",VLOOKUP($D$31,'[1]m kvalifikacije žrebna lista'!$A$7:$R$38,3)))</f>
        <v>NIKOLAŠ</v>
      </c>
      <c r="AH57" s="133" t="str">
        <f>PROPER(IF($D$31="","",VLOOKUP($D$31,'[1]m kvalifikacije žrebna lista'!$A$7:$R$38,4)))</f>
        <v>Klemen</v>
      </c>
      <c r="AI57" s="143">
        <f t="shared" si="3"/>
        <v>8</v>
      </c>
      <c r="AJ57" s="135"/>
    </row>
    <row r="58" spans="1:36" s="83" customFormat="1" ht="9" customHeight="1">
      <c r="A58" s="89"/>
      <c r="B58" s="90"/>
      <c r="C58" s="90"/>
      <c r="D58" s="109"/>
      <c r="E58" s="91"/>
      <c r="F58" s="91"/>
      <c r="G58" s="92"/>
      <c r="H58" s="91"/>
      <c r="I58" s="110"/>
      <c r="J58" s="93" t="s">
        <v>23</v>
      </c>
      <c r="K58" s="111" t="s">
        <v>26</v>
      </c>
      <c r="L58" s="95" t="str">
        <f>UPPER(IF(OR(K58="a",K58="as"),J56,IF(OR(K58="b",K58="bs"),J60,)))</f>
        <v>LAVRENČIČ</v>
      </c>
      <c r="M58" s="112"/>
      <c r="N58" s="113"/>
      <c r="O58" s="113"/>
      <c r="P58" s="80"/>
      <c r="Q58" s="81"/>
      <c r="R58" s="82"/>
      <c r="U58" s="30">
        <f>IF(OR(K58="a",K58="as"),$U$56,IF(OR(K58="b",K58="bs"),U60,""))</f>
        <v>6917</v>
      </c>
      <c r="V58" s="133">
        <v>14</v>
      </c>
      <c r="W58" s="133">
        <f>UPPER(IF($D$33="","",VLOOKUP($D$33,'[1]m kvalifikacije žrebna lista'!$A$7:$R$38,3)))</f>
      </c>
      <c r="X58" s="133">
        <f>PROPER(IF($D$33="","",VLOOKUP($D$33,'[1]m kvalifikacije žrebna lista'!$A$7:$R$38,4)))</f>
      </c>
      <c r="Y58" s="131">
        <f>IF(W58="","",IF($U$32&lt;&gt;$U$33,"",IF(OR($J$33="bb",$J$33=""),"0",$I$31)))</f>
      </c>
      <c r="Z58" s="131">
        <f>IF($W$45="","",IF($U$34&lt;&gt;$U$33,"",IF(OR($L$35="bb",$L$35=""),"0",$K$36)))</f>
      </c>
      <c r="AA58" s="131"/>
      <c r="AB58" s="131"/>
      <c r="AC58" s="131"/>
      <c r="AD58" s="131"/>
      <c r="AE58" s="143">
        <f t="shared" si="2"/>
        <v>0</v>
      </c>
      <c r="AF58" s="133">
        <f>IF($C33="","",'m kvalifikacije 32'!$C$7)</f>
      </c>
      <c r="AG58" s="133">
        <f>UPPER(IF($D$33="","",VLOOKUP($D$33,'[1]m kvalifikacije žrebna lista'!$A$7:$R$38,3)))</f>
      </c>
      <c r="AH58" s="133">
        <f>PROPER(IF($D$33="","",VLOOKUP($D$33,'[1]m kvalifikacije žrebna lista'!$A$7:$R$38,4)))</f>
      </c>
      <c r="AI58" s="143">
        <f t="shared" si="3"/>
        <v>0</v>
      </c>
      <c r="AJ58" s="135"/>
    </row>
    <row r="59" spans="1:36" s="83" customFormat="1" ht="9" customHeight="1">
      <c r="A59" s="89">
        <v>27</v>
      </c>
      <c r="B59" s="103">
        <f>UPPER(IF($D59="","",VLOOKUP($D59,'[1]m kvalifikacije žrebna lista'!$A$7:$R$38,17)))</f>
      </c>
      <c r="C59" s="103">
        <f>(IF($D59="","",VLOOKUP($D59,'[1]m kvalifikacije žrebna lista'!$A$7:$R$38,2)))</f>
      </c>
      <c r="D59" s="74"/>
      <c r="E59" s="104" t="s">
        <v>25</v>
      </c>
      <c r="F59" s="104">
        <f>PROPER(IF($D59="","",VLOOKUP($D59,'[1]m kvalifikacije žrebna lista'!$A$7:$R$38,4)))</f>
      </c>
      <c r="G59" s="104"/>
      <c r="H59" s="104">
        <f>UPPER(IF($D59="","",VLOOKUP($D59,'[1]m kvalifikacije žrebna lista'!$A$7:$R$38,5)))</f>
      </c>
      <c r="I59" s="75">
        <f>IF($D59="","",VLOOKUP($D59,'[1]m kvalifikacije žrebna lista'!$A$7:$R$38,14))</f>
      </c>
      <c r="J59" s="76"/>
      <c r="K59" s="114"/>
      <c r="L59" s="106">
        <v>90</v>
      </c>
      <c r="M59" s="115"/>
      <c r="N59" s="115"/>
      <c r="O59" s="115"/>
      <c r="P59" s="80"/>
      <c r="Q59" s="81"/>
      <c r="R59" s="144"/>
      <c r="U59" s="30">
        <f>IF($D59="","",VLOOKUP($D59,'[1]m kvalifikacije žrebna lista'!$A$7:$R$38,2))</f>
      </c>
      <c r="V59" s="133">
        <v>15</v>
      </c>
      <c r="W59" s="133" t="str">
        <f>UPPER(IF($D$35="","",VLOOKUP($D$35,'[1]m kvalifikacije žrebna lista'!$A$7:$R$38,3)))</f>
        <v>RADIŠIČ</v>
      </c>
      <c r="X59" s="133" t="str">
        <f>PROPER(IF($D$35="","",VLOOKUP($D$35,'[1]m kvalifikacije žrebna lista'!$A$7:$R$38,4)))</f>
        <v>Luka</v>
      </c>
      <c r="Y59" s="131">
        <f>IF(W59="","",IF($U$36&lt;&gt;$U$35,"",IF(OR($J$37="bb",$J$37=""),"0",$I$37)))</f>
      </c>
      <c r="Z59" s="131">
        <f>IF($W$45="","",IF($U$34&lt;&gt;$U$35,"",IF(OR($L$35="bb",$L$35=""),"0",$K$32)))</f>
      </c>
      <c r="AA59" s="131"/>
      <c r="AB59" s="131"/>
      <c r="AC59" s="131"/>
      <c r="AD59" s="131"/>
      <c r="AE59" s="143">
        <f t="shared" si="2"/>
        <v>0</v>
      </c>
      <c r="AF59" s="133">
        <f>IF($C35="","",'m kvalifikacije 32'!$C$7)</f>
        <v>6170</v>
      </c>
      <c r="AG59" s="133" t="str">
        <f>UPPER(IF($D$35="","",VLOOKUP($D$35,'[1]m kvalifikacije žrebna lista'!$A$7:$R$38,3)))</f>
        <v>RADIŠIČ</v>
      </c>
      <c r="AH59" s="133" t="str">
        <f>PROPER(IF($D$35="","",VLOOKUP($D$35,'[1]m kvalifikacije žrebna lista'!$A$7:$R$38,4)))</f>
        <v>Luka</v>
      </c>
      <c r="AI59" s="143">
        <f t="shared" si="3"/>
        <v>6</v>
      </c>
      <c r="AJ59" s="135"/>
    </row>
    <row r="60" spans="1:36" s="83" customFormat="1" ht="9" customHeight="1">
      <c r="A60" s="89"/>
      <c r="B60" s="90"/>
      <c r="C60" s="90"/>
      <c r="D60" s="109"/>
      <c r="E60" s="91"/>
      <c r="F60" s="91"/>
      <c r="G60" s="92"/>
      <c r="H60" s="93" t="s">
        <v>23</v>
      </c>
      <c r="I60" s="94" t="s">
        <v>26</v>
      </c>
      <c r="J60" s="95" t="str">
        <f>UPPER(IF(OR(I60="a",I60="as"),E59,IF(OR(I60="b",I60="bs"),E61,)))</f>
        <v>LAVRENČIČ</v>
      </c>
      <c r="K60" s="117">
        <f>IF(OR(I60="a",I60="as"),I59,IF(OR(I60="b",I60="bs"),I61,))</f>
        <v>10</v>
      </c>
      <c r="L60" s="76"/>
      <c r="M60" s="115"/>
      <c r="N60" s="115"/>
      <c r="O60" s="115"/>
      <c r="P60" s="434" t="s">
        <v>30</v>
      </c>
      <c r="Q60" s="434"/>
      <c r="R60" s="82"/>
      <c r="U60" s="30">
        <f>IF(OR(I60="a",I60="as"),C59,IF(OR(I60="b",I60="bs"),C61,""))</f>
        <v>6917</v>
      </c>
      <c r="V60" s="133">
        <v>16</v>
      </c>
      <c r="W60" s="133" t="str">
        <f>UPPER(IF($D$37="","",VLOOKUP($D$37,'[1]m kvalifikacije žrebna lista'!$A$7:$R$38,3)))</f>
        <v>ČUK</v>
      </c>
      <c r="X60" s="133" t="str">
        <f>PROPER(IF($D$37="","",VLOOKUP($D$37,'[1]m kvalifikacije žrebna lista'!$A$7:$R$38,4)))</f>
        <v>Mark</v>
      </c>
      <c r="Y60" s="131">
        <f>IF(W60="","",IF($U$36&lt;&gt;$U$37,"",IF(OR($J$37="bb",$J$37=""),"0",$I$35)))</f>
        <v>10</v>
      </c>
      <c r="Z60" s="131">
        <f>IF($W$45="","",IF($U$34&lt;&gt;$U$37,"",IF(OR($L$35="bb",$L$35=""),"0",$K$32)))</f>
        <v>10</v>
      </c>
      <c r="AA60" s="131"/>
      <c r="AB60" s="131"/>
      <c r="AC60" s="131"/>
      <c r="AD60" s="131"/>
      <c r="AE60" s="143">
        <f t="shared" si="2"/>
        <v>20</v>
      </c>
      <c r="AF60" s="133">
        <f>IF($C37="","",'m kvalifikacije 32'!$C$7)</f>
        <v>6170</v>
      </c>
      <c r="AG60" s="133" t="str">
        <f>UPPER(IF($D$37="","",VLOOKUP($D$37,'[1]m kvalifikacije žrebna lista'!$A$7:$R$38,3)))</f>
        <v>ČUK</v>
      </c>
      <c r="AH60" s="133" t="str">
        <f>PROPER(IF($D$37="","",VLOOKUP($D$37,'[1]m kvalifikacije žrebna lista'!$A$7:$R$38,4)))</f>
        <v>Mark</v>
      </c>
      <c r="AI60" s="143">
        <f t="shared" si="3"/>
        <v>30</v>
      </c>
      <c r="AJ60" s="135"/>
    </row>
    <row r="61" spans="1:36" s="83" customFormat="1" ht="9" customHeight="1">
      <c r="A61" s="89">
        <v>28</v>
      </c>
      <c r="B61" s="103" t="str">
        <f>UPPER(IF($D61="","",VLOOKUP($D61,'[1]m kvalifikacije žrebna lista'!$A$7:$R$38,17)))</f>
        <v>D</v>
      </c>
      <c r="C61" s="103">
        <f>(IF($D61="","",VLOOKUP($D61,'[1]m kvalifikacije žrebna lista'!$A$7:$R$38,2)))</f>
        <v>6917</v>
      </c>
      <c r="D61" s="74">
        <v>22</v>
      </c>
      <c r="E61" s="104" t="str">
        <f>UPPER(IF($D61="","",VLOOKUP($D61,'[1]m kvalifikacije žrebna lista'!$A$7:$R$38,3)))</f>
        <v>LAVRENČIČ</v>
      </c>
      <c r="F61" s="104" t="str">
        <f>PROPER(IF($D61="","",VLOOKUP($D61,'[1]m kvalifikacije žrebna lista'!$A$7:$R$38,4)))</f>
        <v>Nejc</v>
      </c>
      <c r="G61" s="104"/>
      <c r="H61" s="104" t="str">
        <f>UPPER(IF($D61="","",VLOOKUP($D61,'[1]m kvalifikacije žrebna lista'!$A$7:$R$38,5)))</f>
        <v>N.GOR</v>
      </c>
      <c r="I61" s="118">
        <f>IF($D61="","",VLOOKUP($D61,'[1]m kvalifikacije žrebna lista'!$A$7:$R$38,14))</f>
        <v>10</v>
      </c>
      <c r="J61" s="106"/>
      <c r="K61" s="119"/>
      <c r="L61" s="76"/>
      <c r="M61" s="115"/>
      <c r="N61" s="115"/>
      <c r="O61" s="115"/>
      <c r="P61" s="434"/>
      <c r="Q61" s="434"/>
      <c r="R61" s="82"/>
      <c r="U61" s="30">
        <f>IF($D61="","",VLOOKUP($D61,'[1]m kvalifikacije žrebna lista'!$A$7:$R$38,2))</f>
        <v>6917</v>
      </c>
      <c r="V61" s="133">
        <v>17</v>
      </c>
      <c r="W61" s="133" t="str">
        <f>UPPER(IF($D$39="","",VLOOKUP($D$39,'[1]m kvalifikacije žrebna lista'!$A$7:$R$38,3)))</f>
        <v>DROBNIČ</v>
      </c>
      <c r="X61" s="133" t="str">
        <f>PROPER(IF($D$39="","",VLOOKUP($D$39,'[1]m kvalifikacije žrebna lista'!$A$7:$R$38,4)))</f>
        <v>Žiga</v>
      </c>
      <c r="Y61" s="131" t="str">
        <f>IF(W61="","",IF($U$40&lt;&gt;$U$39,"",IF(OR($J$41="bb",$J$41=""),"0",$I$41)))</f>
        <v>0</v>
      </c>
      <c r="Z61" s="131">
        <f>IF($W$45="","",IF($U$42&lt;&gt;$U$39,"",IF(OR($L$43="bb",$L$43=""),"0",$K$44)))</f>
        <v>10</v>
      </c>
      <c r="AA61" s="131"/>
      <c r="AB61" s="131"/>
      <c r="AC61" s="131"/>
      <c r="AD61" s="131"/>
      <c r="AE61" s="143">
        <f t="shared" si="2"/>
        <v>10</v>
      </c>
      <c r="AF61" s="133">
        <f>IF($C39="","",'m kvalifikacije 32'!$C$7)</f>
        <v>6170</v>
      </c>
      <c r="AG61" s="133" t="str">
        <f>UPPER(IF($D$39="","",VLOOKUP($D$39,'[1]m kvalifikacije žrebna lista'!$A$7:$R$38,3)))</f>
        <v>DROBNIČ</v>
      </c>
      <c r="AH61" s="133" t="str">
        <f>PROPER(IF($D$39="","",VLOOKUP($D$39,'[1]m kvalifikacije žrebna lista'!$A$7:$R$38,4)))</f>
        <v>Žiga</v>
      </c>
      <c r="AI61" s="143">
        <f t="shared" si="3"/>
        <v>20</v>
      </c>
      <c r="AJ61" s="135"/>
    </row>
    <row r="62" spans="1:36" s="83" customFormat="1" ht="9" customHeight="1">
      <c r="A62" s="89"/>
      <c r="B62" s="90"/>
      <c r="C62" s="90"/>
      <c r="D62" s="109"/>
      <c r="E62" s="76"/>
      <c r="F62" s="76"/>
      <c r="G62" s="120"/>
      <c r="H62" s="121"/>
      <c r="I62" s="110"/>
      <c r="J62" s="76"/>
      <c r="K62" s="119"/>
      <c r="L62" s="93"/>
      <c r="M62" s="122"/>
      <c r="N62" s="123">
        <f>UPPER(IF(OR(M62="a",M62="as"),L58,IF(OR(M62="b",M62="bs"),L66,)))</f>
      </c>
      <c r="O62" s="115"/>
      <c r="P62" s="145" t="s">
        <v>31</v>
      </c>
      <c r="Q62" s="146">
        <f>IF(J4="","",'[1]m glavni 32'!$Q$63)</f>
        <v>2</v>
      </c>
      <c r="R62" s="82"/>
      <c r="U62" s="30"/>
      <c r="V62" s="133">
        <v>18</v>
      </c>
      <c r="W62" s="133">
        <f>UPPER(IF($D$41="","",VLOOKUP($D$41,'[1]m kvalifikacije žrebna lista'!$A$7:$R$38,3)))</f>
      </c>
      <c r="X62" s="133">
        <f>PROPER(IF($D$41="","",VLOOKUP($D$41,'[1]m kvalifikacije žrebna lista'!$A$7:$R$38,4)))</f>
      </c>
      <c r="Y62" s="131">
        <f>IF(W62="","",IF($U$40&lt;&gt;$U$41,"",IF(OR($J$41="bb",$J$41=""),"0",$I$39)))</f>
      </c>
      <c r="Z62" s="131">
        <f>IF($W$45="","",IF($U$42&lt;&gt;$U$41,"",IF(OR($L$43="bb",$L$43=""),"0",$K$44)))</f>
      </c>
      <c r="AA62" s="131"/>
      <c r="AB62" s="131"/>
      <c r="AC62" s="131"/>
      <c r="AD62" s="131"/>
      <c r="AE62" s="143">
        <f t="shared" si="2"/>
        <v>0</v>
      </c>
      <c r="AF62" s="133">
        <f>IF($C41="","",'m kvalifikacije 32'!$C$7)</f>
      </c>
      <c r="AG62" s="133">
        <f>UPPER(IF($D$41="","",VLOOKUP($D$41,'[1]m kvalifikacije žrebna lista'!$A$7:$R$38,3)))</f>
      </c>
      <c r="AH62" s="133">
        <f>PROPER(IF($D$41="","",VLOOKUP($D$41,'[1]m kvalifikacije žrebna lista'!$A$7:$R$38,4)))</f>
      </c>
      <c r="AI62" s="143">
        <f t="shared" si="3"/>
        <v>0</v>
      </c>
      <c r="AJ62" s="135"/>
    </row>
    <row r="63" spans="1:36" s="83" customFormat="1" ht="9" customHeight="1">
      <c r="A63" s="72">
        <v>29</v>
      </c>
      <c r="B63" s="73" t="str">
        <f>UPPER(IF($D63="","",VLOOKUP($D63,'[1]m kvalifikacije žrebna lista'!$A$7:$R$38,17)))</f>
        <v>D</v>
      </c>
      <c r="C63" s="73">
        <f>(IF($D63="","",VLOOKUP($D63,'[1]m kvalifikacije žrebna lista'!$A$7:$R$38,2)))</f>
        <v>6219</v>
      </c>
      <c r="D63" s="74">
        <v>8</v>
      </c>
      <c r="E63" s="73" t="str">
        <f>UPPER(IF($D63="","",VLOOKUP($D63,'[1]m kvalifikacije žrebna lista'!$A$7:$R$38,3)))</f>
        <v>ŠTER</v>
      </c>
      <c r="F63" s="73" t="str">
        <f>PROPER(IF($D63="","",VLOOKUP($D63,'[1]m kvalifikacije žrebna lista'!$A$7:$R$38,4)))</f>
        <v>Nejc</v>
      </c>
      <c r="G63" s="73"/>
      <c r="H63" s="73" t="str">
        <f>UPPER(IF($D63="","",VLOOKUP($D63,'[1]m kvalifikacije žrebna lista'!$A$7:$R$38,5)))</f>
        <v>ASLIT</v>
      </c>
      <c r="I63" s="124">
        <f>IF($D63="","",VLOOKUP($D63,'[1]m kvalifikacije žrebna lista'!$A$7:$R$38,14))</f>
        <v>10</v>
      </c>
      <c r="J63" s="76"/>
      <c r="K63" s="119"/>
      <c r="L63" s="76"/>
      <c r="M63" s="115"/>
      <c r="N63" s="123"/>
      <c r="O63" s="115"/>
      <c r="P63" s="147" t="s">
        <v>17</v>
      </c>
      <c r="Q63" s="148">
        <f>IF($C$2="B turnir",0.5,IF($Q$62=1,15,IF($Q$62=2,10,IF($Q$62=3,5,""))))</f>
        <v>10</v>
      </c>
      <c r="R63" s="82"/>
      <c r="U63" s="30">
        <f>IF($D63="","",VLOOKUP($D63,'[1]m kvalifikacije žrebna lista'!$A$7:$R$38,2))</f>
        <v>6219</v>
      </c>
      <c r="V63" s="133">
        <v>19</v>
      </c>
      <c r="W63" s="133" t="str">
        <f>UPPER(IF($D$43="","",VLOOKUP($D$43,'[1]m kvalifikacije žrebna lista'!$A$7:$R$38,3)))</f>
        <v>ŽIDAN</v>
      </c>
      <c r="X63" s="133" t="str">
        <f>PROPER(IF($D$43="","",VLOOKUP($D$43,'[1]m kvalifikacije žrebna lista'!$A$7:$R$38,4)))</f>
        <v>Emil</v>
      </c>
      <c r="Y63" s="131">
        <f>IF(W63="","",IF($U$44&lt;&gt;$U$43,"",IF(OR($J$45="bb",$J$45=""),"0",$I$45)))</f>
      </c>
      <c r="Z63" s="131">
        <f>IF($W$45="","",IF($U$42&lt;&gt;$U$43,"",IF(OR($L$43="bb",$L$43=""),"0",$K$40)))</f>
      </c>
      <c r="AA63" s="131"/>
      <c r="AB63" s="131"/>
      <c r="AC63" s="131"/>
      <c r="AD63" s="131"/>
      <c r="AE63" s="143">
        <f t="shared" si="2"/>
        <v>0</v>
      </c>
      <c r="AF63" s="133">
        <f>IF($C43="","",'m kvalifikacije 32'!$C$7)</f>
        <v>6170</v>
      </c>
      <c r="AG63" s="133" t="str">
        <f>UPPER(IF($D$43="","",VLOOKUP($D$43,'[1]m kvalifikacije žrebna lista'!$A$7:$R$38,3)))</f>
        <v>ŽIDAN</v>
      </c>
      <c r="AH63" s="133" t="str">
        <f>PROPER(IF($D$43="","",VLOOKUP($D$43,'[1]m kvalifikacije žrebna lista'!$A$7:$R$38,4)))</f>
        <v>Emil</v>
      </c>
      <c r="AI63" s="143">
        <f t="shared" si="3"/>
        <v>6</v>
      </c>
      <c r="AJ63" s="135"/>
    </row>
    <row r="64" spans="1:36" s="83" customFormat="1" ht="9" customHeight="1">
      <c r="A64" s="89"/>
      <c r="B64" s="90"/>
      <c r="C64" s="90"/>
      <c r="D64" s="109"/>
      <c r="E64" s="91"/>
      <c r="F64" s="91"/>
      <c r="G64" s="92"/>
      <c r="H64" s="93" t="s">
        <v>23</v>
      </c>
      <c r="I64" s="94" t="s">
        <v>24</v>
      </c>
      <c r="J64" s="95" t="str">
        <f>UPPER(IF(OR(I64="a",I64="as"),E63,IF(OR(I64="b",I64="bs"),E65,)))</f>
        <v>ŠTER</v>
      </c>
      <c r="K64" s="96">
        <f>IF(OR(I64="a",I64="as"),I63,IF(OR(I64="b",I64="bs"),I65,))</f>
        <v>10</v>
      </c>
      <c r="L64" s="76"/>
      <c r="M64" s="115"/>
      <c r="N64" s="115"/>
      <c r="O64" s="115"/>
      <c r="P64" s="56" t="s">
        <v>32</v>
      </c>
      <c r="Q64" s="149">
        <f>IF($C$2="B turnir",0.4,IF($Q$62=1,12,IF($Q$62=2,8,IF($Q$62=3,4,""))))</f>
        <v>8</v>
      </c>
      <c r="R64" s="82"/>
      <c r="U64" s="30">
        <f>IF(OR(I64="a",I64="as"),C63,IF(OR(I64="b",I64="bs"),C65,""))</f>
        <v>6219</v>
      </c>
      <c r="V64" s="133">
        <v>20</v>
      </c>
      <c r="W64" s="133" t="str">
        <f>UPPER(IF($D$45="","",VLOOKUP($D$45,'[1]m kvalifikacije žrebna lista'!$A$7:$R$38,3)))</f>
        <v>HRIBAR</v>
      </c>
      <c r="X64" s="133" t="str">
        <f>PROPER(IF($D$45="","",VLOOKUP($D$45,'[1]m kvalifikacije žrebna lista'!$A$7:$R$38,4)))</f>
        <v>Nik</v>
      </c>
      <c r="Y64" s="131">
        <f>IF(W64="","",IF($U$44&lt;&gt;$U$45,"",IF(OR($J$45="bb",$J$45=""),"0",$I$43)))</f>
        <v>10</v>
      </c>
      <c r="Z64" s="131">
        <f>IF($W$45="","",IF($U$42&lt;&gt;$U$45,"",IF(OR($L$43="bb",$L$43=""),"0",$K$40)))</f>
      </c>
      <c r="AA64" s="131"/>
      <c r="AB64" s="131"/>
      <c r="AC64" s="131"/>
      <c r="AD64" s="131"/>
      <c r="AE64" s="143">
        <f t="shared" si="2"/>
        <v>10</v>
      </c>
      <c r="AF64" s="133">
        <f>IF($C45="","",'m kvalifikacije 32'!$C$7)</f>
        <v>6170</v>
      </c>
      <c r="AG64" s="133" t="str">
        <f>UPPER(IF($D$45="","",VLOOKUP($D$45,'[1]m kvalifikacije žrebna lista'!$A$7:$R$38,3)))</f>
        <v>HRIBAR</v>
      </c>
      <c r="AH64" s="133" t="str">
        <f>PROPER(IF($D$45="","",VLOOKUP($D$45,'[1]m kvalifikacije žrebna lista'!$A$7:$R$38,4)))</f>
        <v>Nik</v>
      </c>
      <c r="AI64" s="143">
        <f t="shared" si="3"/>
        <v>18</v>
      </c>
      <c r="AJ64" s="135"/>
    </row>
    <row r="65" spans="1:36" s="83" customFormat="1" ht="9" customHeight="1">
      <c r="A65" s="89">
        <v>30</v>
      </c>
      <c r="B65" s="103">
        <f>UPPER(IF($D65="","",VLOOKUP($D65,'[1]m kvalifikacije žrebna lista'!$A$7:$R$38,17)))</f>
      </c>
      <c r="C65" s="103">
        <f>(IF($D65="","",VLOOKUP($D65,'[1]m kvalifikacije žrebna lista'!$A$7:$R$38,2)))</f>
      </c>
      <c r="D65" s="74"/>
      <c r="E65" s="104" t="s">
        <v>25</v>
      </c>
      <c r="F65" s="104">
        <f>PROPER(IF($D65="","",VLOOKUP($D65,'[1]m kvalifikacije žrebna lista'!$A$7:$R$38,4)))</f>
      </c>
      <c r="G65" s="104"/>
      <c r="H65" s="104">
        <f>UPPER(IF($D65="","",VLOOKUP($D65,'[1]m kvalifikacije žrebna lista'!$A$7:$R$38,5)))</f>
      </c>
      <c r="I65" s="105">
        <f>IF($D65="","",VLOOKUP($D65,'[1]m kvalifikacije žrebna lista'!$A$7:$R$38,14))</f>
      </c>
      <c r="J65" s="106"/>
      <c r="K65" s="107"/>
      <c r="L65" s="76"/>
      <c r="M65" s="115"/>
      <c r="N65" s="115"/>
      <c r="O65" s="115"/>
      <c r="P65" s="56" t="s">
        <v>33</v>
      </c>
      <c r="Q65" s="149">
        <f>IF($C$2="B turnir",0.3,IF($Q$62=1,9,IF($Q$62=2,6,IF($Q$62=3,3,""))))</f>
        <v>6</v>
      </c>
      <c r="R65" s="82"/>
      <c r="U65" s="30">
        <f>IF($D65="","",VLOOKUP($D65,'[1]m kvalifikacije žrebna lista'!$A$7:$R$38,2))</f>
      </c>
      <c r="V65" s="133">
        <v>21</v>
      </c>
      <c r="W65" s="133" t="str">
        <f>UPPER(IF($D$47="","",VLOOKUP($D$47,'[1]m kvalifikacije žrebna lista'!$A$7:$R$38,3)))</f>
        <v>KAPLJA</v>
      </c>
      <c r="X65" s="133" t="str">
        <f>PROPER(IF($D$47="","",VLOOKUP($D$47,'[1]m kvalifikacije žrebna lista'!$A$7:$R$38,4)))</f>
        <v>Aljaž Jakob</v>
      </c>
      <c r="Y65" s="131" t="str">
        <f>IF(W65="","",IF($U$48&lt;&gt;$U$47,"",IF(OR($J$49="bb",$J$49=""),"0",$I$49)))</f>
        <v>0</v>
      </c>
      <c r="Z65" s="131">
        <f>IF($W$45="","",IF($U$50&lt;&gt;$U$47,"",IF(OR($L$51="bb",$L$51=""),"0",$K$52)))</f>
        <v>10</v>
      </c>
      <c r="AA65" s="131"/>
      <c r="AB65" s="131"/>
      <c r="AC65" s="131"/>
      <c r="AD65" s="131"/>
      <c r="AE65" s="143">
        <f t="shared" si="2"/>
        <v>10</v>
      </c>
      <c r="AF65" s="133">
        <f>IF($C47="","",'m kvalifikacije 32'!$C$7)</f>
        <v>6170</v>
      </c>
      <c r="AG65" s="133" t="str">
        <f>UPPER(IF($D$47="","",VLOOKUP($D$47,'[1]m kvalifikacije žrebna lista'!$A$7:$R$38,3)))</f>
        <v>KAPLJA</v>
      </c>
      <c r="AH65" s="133" t="str">
        <f>PROPER(IF($D$47="","",VLOOKUP($D$47,'[1]m kvalifikacije žrebna lista'!$A$7:$R$38,4)))</f>
        <v>Aljaž Jakob</v>
      </c>
      <c r="AI65" s="143">
        <f t="shared" si="3"/>
        <v>20</v>
      </c>
      <c r="AJ65" s="135"/>
    </row>
    <row r="66" spans="1:36" s="83" customFormat="1" ht="9" customHeight="1">
      <c r="A66" s="89"/>
      <c r="B66" s="90"/>
      <c r="C66" s="90"/>
      <c r="D66" s="109"/>
      <c r="E66" s="91"/>
      <c r="F66" s="91"/>
      <c r="G66" s="92"/>
      <c r="H66" s="76"/>
      <c r="I66" s="110"/>
      <c r="J66" s="93" t="s">
        <v>23</v>
      </c>
      <c r="K66" s="111" t="s">
        <v>24</v>
      </c>
      <c r="L66" s="95" t="str">
        <f>UPPER(IF(OR(K66="a",K66="as"),J64,IF(OR(K66="b",K66="bs"),J68,)))</f>
        <v>ŠTER</v>
      </c>
      <c r="M66" s="112"/>
      <c r="N66" s="113"/>
      <c r="O66" s="115"/>
      <c r="P66" s="56" t="s">
        <v>34</v>
      </c>
      <c r="Q66" s="149">
        <f>IF($C$2="B turnir",0.2,IF($Q$62=1,6,IF($Q$62=2,4,IF($Q$62=3,2,""))))</f>
        <v>4</v>
      </c>
      <c r="R66" s="82"/>
      <c r="U66" s="30">
        <f>IF(OR(K66="a",K66="as"),$U$64,IF(OR(K66="b",K66="bs"),U68,""))</f>
        <v>6219</v>
      </c>
      <c r="V66" s="133">
        <v>22</v>
      </c>
      <c r="W66" s="133">
        <f>UPPER(IF($D$49="","",VLOOKUP($D$49,'[1]m kvalifikacije žrebna lista'!$A$7:$R$38,3)))</f>
      </c>
      <c r="X66" s="133">
        <f>PROPER(IF($D$49="","",VLOOKUP($D$49,'[1]m kvalifikacije žrebna lista'!$A$7:$R$38,4)))</f>
      </c>
      <c r="Y66" s="131">
        <f>IF(W66="","",IF($U$48&lt;&gt;$U$49,"",IF(OR($J$49="bb",$J$49=""),"0",$I$47)))</f>
      </c>
      <c r="Z66" s="131">
        <f>IF($W$45="","",IF($U$50&lt;&gt;$U$49,"",IF(OR($L$51="bb",$L$51=""),"0",$K$52)))</f>
      </c>
      <c r="AA66" s="131"/>
      <c r="AB66" s="131"/>
      <c r="AC66" s="131"/>
      <c r="AD66" s="131"/>
      <c r="AE66" s="143">
        <f t="shared" si="2"/>
        <v>0</v>
      </c>
      <c r="AF66" s="133">
        <f>IF($C49="","",'m kvalifikacije 32'!$C$7)</f>
      </c>
      <c r="AG66" s="133">
        <f>UPPER(IF($D$49="","",VLOOKUP($D$49,'[1]m kvalifikacije žrebna lista'!$A$7:$R$38,3)))</f>
      </c>
      <c r="AH66" s="133">
        <f>PROPER(IF($D$49="","",VLOOKUP($D$49,'[1]m kvalifikacije žrebna lista'!$A$7:$R$38,4)))</f>
      </c>
      <c r="AI66" s="143">
        <f t="shared" si="3"/>
        <v>0</v>
      </c>
      <c r="AJ66" s="135"/>
    </row>
    <row r="67" spans="1:36" s="83" customFormat="1" ht="9" customHeight="1">
      <c r="A67" s="89">
        <v>31</v>
      </c>
      <c r="B67" s="103">
        <f>UPPER(IF($D67="","",VLOOKUP($D67,'[1]m kvalifikacije žrebna lista'!$A$7:$R$38,17)))</f>
      </c>
      <c r="C67" s="103">
        <f>(IF($D67="","",VLOOKUP($D67,'[1]m kvalifikacije žrebna lista'!$A$7:$R$38,2)))</f>
      </c>
      <c r="D67" s="74"/>
      <c r="E67" s="104" t="s">
        <v>25</v>
      </c>
      <c r="F67" s="104">
        <f>PROPER(IF($D67="","",VLOOKUP($D67,'[1]m kvalifikacije žrebna lista'!$A$7:$R$38,4)))</f>
      </c>
      <c r="G67" s="104"/>
      <c r="H67" s="104">
        <f>UPPER(IF($D67="","",VLOOKUP($D67,'[1]m kvalifikacije žrebna lista'!$A$7:$R$38,5)))</f>
      </c>
      <c r="I67" s="75">
        <f>IF($D67="","",VLOOKUP($D67,'[1]m kvalifikacije žrebna lista'!$A$7:$R$38,14))</f>
      </c>
      <c r="J67" s="76"/>
      <c r="K67" s="114"/>
      <c r="L67" s="106">
        <v>90</v>
      </c>
      <c r="M67" s="113"/>
      <c r="N67" s="113"/>
      <c r="O67" s="113"/>
      <c r="P67" s="56" t="s">
        <v>35</v>
      </c>
      <c r="Q67" s="149">
        <f>IF($C$2="B turnir",0.1,IF($Q$62=1,3,IF($Q$62=2,2,IF($Q$62=3,1,""))))</f>
        <v>2</v>
      </c>
      <c r="R67" s="82"/>
      <c r="U67" s="30">
        <f>IF($D67="","",VLOOKUP($D67,'[1]m kvalifikacije žrebna lista'!$A$7:$R$38,2))</f>
      </c>
      <c r="V67" s="133">
        <v>23</v>
      </c>
      <c r="W67" s="133" t="str">
        <f>UPPER(IF($D$51="","",VLOOKUP($D$51,'[1]m kvalifikacije žrebna lista'!$A$7:$R$38,3)))</f>
        <v>POGLAJEN</v>
      </c>
      <c r="X67" s="133" t="str">
        <f>PROPER(IF($D$51="","",VLOOKUP($D$51,'[1]m kvalifikacije žrebna lista'!$A$7:$R$38,4)))</f>
        <v>Tim</v>
      </c>
      <c r="Y67" s="131">
        <f>IF(W67="","",IF($U$52&lt;&gt;$U$51,"",IF(OR($J$53="bb",$J$53=""),"0",$I$53)))</f>
        <v>10</v>
      </c>
      <c r="Z67" s="131">
        <f>IF($W$45="","",IF($U$50&lt;&gt;$U$51,"",IF(OR($L$51="bb",$L$51=""),"0",$K$48)))</f>
      </c>
      <c r="AA67" s="131"/>
      <c r="AB67" s="131"/>
      <c r="AC67" s="131"/>
      <c r="AD67" s="131"/>
      <c r="AE67" s="143">
        <f t="shared" si="2"/>
        <v>10</v>
      </c>
      <c r="AF67" s="133">
        <f>IF($C51="","",'m kvalifikacije 32'!$C$7)</f>
        <v>6170</v>
      </c>
      <c r="AG67" s="133" t="str">
        <f>UPPER(IF($D$51="","",VLOOKUP($D$51,'[1]m kvalifikacije žrebna lista'!$A$7:$R$38,3)))</f>
        <v>POGLAJEN</v>
      </c>
      <c r="AH67" s="133" t="str">
        <f>PROPER(IF($D$51="","",VLOOKUP($D$51,'[1]m kvalifikacije žrebna lista'!$A$7:$R$38,4)))</f>
        <v>Tim</v>
      </c>
      <c r="AI67" s="143">
        <f t="shared" si="3"/>
        <v>18</v>
      </c>
      <c r="AJ67" s="135"/>
    </row>
    <row r="68" spans="1:36" s="83" customFormat="1" ht="9" customHeight="1">
      <c r="A68" s="89"/>
      <c r="B68" s="90"/>
      <c r="C68" s="90"/>
      <c r="D68" s="90"/>
      <c r="E68" s="91"/>
      <c r="F68" s="91"/>
      <c r="G68" s="92"/>
      <c r="H68" s="93" t="s">
        <v>23</v>
      </c>
      <c r="I68" s="94" t="s">
        <v>26</v>
      </c>
      <c r="J68" s="95" t="str">
        <f>UPPER(IF(OR(I68="a",I68="as"),E67,IF(OR(I68="b",I68="bs"),E69,)))</f>
        <v>PURIĆ</v>
      </c>
      <c r="K68" s="117">
        <f>IF(OR(I68="a",I68="as"),I67,IF(OR(I68="b",I68="bs"),I69,))</f>
        <v>10</v>
      </c>
      <c r="L68" s="76"/>
      <c r="M68" s="113"/>
      <c r="N68" s="113"/>
      <c r="O68" s="113"/>
      <c r="P68" s="150"/>
      <c r="Q68" s="150"/>
      <c r="R68" s="82"/>
      <c r="U68" s="30">
        <f>IF(OR(I68="a",I68="as"),C67,IF(OR(I68="b",I68="bs"),C69,""))</f>
        <v>7786</v>
      </c>
      <c r="V68" s="133">
        <v>24</v>
      </c>
      <c r="W68" s="133" t="str">
        <f>UPPER(IF($D$53="","",VLOOKUP($D$53,'[1]m kvalifikacije žrebna lista'!$A$7:$R$38,3)))</f>
        <v>JUŽNIČ</v>
      </c>
      <c r="X68" s="133" t="str">
        <f>PROPER(IF($D$53="","",VLOOKUP($D$53,'[1]m kvalifikacije žrebna lista'!$A$7:$R$38,4)))</f>
        <v>David</v>
      </c>
      <c r="Y68" s="131">
        <f>IF(W68="","",IF($U$52&lt;&gt;$U$53,"",IF(OR($J$53="bb",$J$53=""),"0",$I$51)))</f>
      </c>
      <c r="Z68" s="131">
        <f>IF($W$45="","",IF($U$50&lt;&gt;$U$53,"",IF(OR($L$51="bb",$L$51=""),"0",$K$48)))</f>
      </c>
      <c r="AA68" s="131"/>
      <c r="AB68" s="131"/>
      <c r="AC68" s="131"/>
      <c r="AD68" s="131"/>
      <c r="AE68" s="143">
        <f t="shared" si="2"/>
        <v>0</v>
      </c>
      <c r="AF68" s="133">
        <f>IF($C53="","",'m kvalifikacije 32'!$C$7)</f>
        <v>6170</v>
      </c>
      <c r="AG68" s="133" t="str">
        <f>UPPER(IF($D$53="","",VLOOKUP($D$53,'[1]m kvalifikacije žrebna lista'!$A$7:$R$38,3)))</f>
        <v>JUŽNIČ</v>
      </c>
      <c r="AH68" s="133" t="str">
        <f>PROPER(IF($D$53="","",VLOOKUP($D$53,'[1]m kvalifikacije žrebna lista'!$A$7:$R$38,4)))</f>
        <v>David</v>
      </c>
      <c r="AI68" s="143">
        <f t="shared" si="3"/>
        <v>6</v>
      </c>
      <c r="AJ68" s="135"/>
    </row>
    <row r="69" spans="1:36" s="83" customFormat="1" ht="9" customHeight="1">
      <c r="A69" s="89">
        <v>32</v>
      </c>
      <c r="B69" s="103" t="str">
        <f>UPPER(IF($D69="","",VLOOKUP($D69,'[1]m kvalifikacije žrebna lista'!$A$7:$R$38,17)))</f>
        <v>D</v>
      </c>
      <c r="C69" s="103">
        <f>(IF($D69="","",VLOOKUP($D69,'[1]m kvalifikacije žrebna lista'!$A$7:$R$38,2)))</f>
        <v>7786</v>
      </c>
      <c r="D69" s="74">
        <v>19</v>
      </c>
      <c r="E69" s="104" t="str">
        <f>UPPER(IF($D69="","",VLOOKUP($D69,'[1]m kvalifikacije žrebna lista'!$A$7:$R$38,3)))</f>
        <v>PURIĆ</v>
      </c>
      <c r="F69" s="104" t="str">
        <f>PROPER(IF($D69="","",VLOOKUP($D69,'[1]m kvalifikacije žrebna lista'!$A$7:$R$38,4)))</f>
        <v>Dorian</v>
      </c>
      <c r="G69" s="73"/>
      <c r="H69" s="104" t="str">
        <f>UPPER(IF($D69="","",VLOOKUP($D69,'[1]m kvalifikacije žrebna lista'!$A$7:$R$38,5)))</f>
        <v>KOPER</v>
      </c>
      <c r="I69" s="118">
        <f>IF($D69="","",VLOOKUP($D69,'[1]m kvalifikacije žrebna lista'!$A$7:$R$38,14))</f>
        <v>10</v>
      </c>
      <c r="J69" s="106"/>
      <c r="K69" s="77"/>
      <c r="L69" s="76"/>
      <c r="M69" s="76"/>
      <c r="N69" s="78"/>
      <c r="O69" s="79"/>
      <c r="P69" s="80"/>
      <c r="Q69" s="81"/>
      <c r="R69" s="82"/>
      <c r="U69" s="30">
        <f>IF($D69="","",VLOOKUP($D69,'[1]m kvalifikacije žrebna lista'!$A$7:$R$38,2))</f>
        <v>7786</v>
      </c>
      <c r="V69" s="133">
        <v>25</v>
      </c>
      <c r="W69" s="133" t="str">
        <f>UPPER(IF($D$55="","",VLOOKUP($D$55,'[1]m kvalifikacije žrebna lista'!$A$7:$R$38,3)))</f>
        <v>HOBACHER</v>
      </c>
      <c r="X69" s="133" t="str">
        <f>PROPER(IF($D$55="","",VLOOKUP($D$55,'[1]m kvalifikacije žrebna lista'!$A$7:$R$38,4)))</f>
        <v>Dominik</v>
      </c>
      <c r="Y69" s="131" t="str">
        <f>IF(W69="","",IF($U$56&lt;&gt;$U$55,"",IF(OR($J$57="bb",$J$57=""),"0",$I$57)))</f>
        <v>0</v>
      </c>
      <c r="Z69" s="131">
        <f>IF($W$45="","",IF($U$58&lt;&gt;$U$55,"",IF(OR($L$59="bb",$L$59=""),"0",$K$60)))</f>
      </c>
      <c r="AA69" s="131"/>
      <c r="AB69" s="131"/>
      <c r="AC69" s="131"/>
      <c r="AD69" s="131"/>
      <c r="AE69" s="143">
        <f t="shared" si="2"/>
        <v>0</v>
      </c>
      <c r="AF69" s="133">
        <f>IF($C55="","",'m kvalifikacije 32'!$C$7)</f>
        <v>6170</v>
      </c>
      <c r="AG69" s="133" t="str">
        <f>UPPER(IF($D$55="","",VLOOKUP($D$55,'[1]m kvalifikacije žrebna lista'!$A$7:$R$38,3)))</f>
        <v>HOBACHER</v>
      </c>
      <c r="AH69" s="133" t="str">
        <f>PROPER(IF($D$55="","",VLOOKUP($D$55,'[1]m kvalifikacije žrebna lista'!$A$7:$R$38,4)))</f>
        <v>Dominik</v>
      </c>
      <c r="AI69" s="143">
        <f t="shared" si="3"/>
        <v>8</v>
      </c>
      <c r="AJ69" s="135"/>
    </row>
    <row r="70" spans="1:36" s="157" customFormat="1" ht="9" customHeight="1">
      <c r="A70" s="151"/>
      <c r="B70" s="151"/>
      <c r="C70" s="151"/>
      <c r="D70" s="151"/>
      <c r="E70" s="152"/>
      <c r="F70" s="152"/>
      <c r="G70" s="152"/>
      <c r="H70" s="152"/>
      <c r="I70" s="153"/>
      <c r="J70" s="154"/>
      <c r="K70" s="154"/>
      <c r="L70" s="154"/>
      <c r="M70" s="155"/>
      <c r="N70" s="154"/>
      <c r="O70" s="155"/>
      <c r="P70" s="154"/>
      <c r="Q70" s="155"/>
      <c r="R70" s="156"/>
      <c r="U70" s="30"/>
      <c r="V70" s="133">
        <v>26</v>
      </c>
      <c r="W70" s="133">
        <f>UPPER(IF($D$57="","",VLOOKUP($D$57,'[1]m kvalifikacije žrebna lista'!$A$7:$R$38,3)))</f>
      </c>
      <c r="X70" s="133">
        <f>PROPER(IF($D$57="","",VLOOKUP($D$57,'[1]m kvalifikacije žrebna lista'!$A$7:$R$38,4)))</f>
      </c>
      <c r="Y70" s="131">
        <f>IF(W70="","",IF($U$56&lt;&gt;$U$57,"",IF(OR($J$57="bb",$J$57=""),"0",$I$55)))</f>
      </c>
      <c r="Z70" s="131">
        <f>IF($W$45="","",IF($U$58&lt;&gt;$U$57,"",IF(OR($L$59="bb",$L$59=""),"0",$K$60)))</f>
      </c>
      <c r="AA70" s="131"/>
      <c r="AB70" s="131"/>
      <c r="AC70" s="131"/>
      <c r="AD70" s="131"/>
      <c r="AE70" s="143">
        <f t="shared" si="2"/>
        <v>0</v>
      </c>
      <c r="AF70" s="133">
        <f>IF($C57="","",'m kvalifikacije 32'!$C$7)</f>
      </c>
      <c r="AG70" s="133">
        <f>UPPER(IF($D$57="","",VLOOKUP($D$57,'[1]m kvalifikacije žrebna lista'!$A$7:$R$38,3)))</f>
      </c>
      <c r="AH70" s="133">
        <f>PROPER(IF($D$57="","",VLOOKUP($D$57,'[1]m kvalifikacije žrebna lista'!$A$7:$R$38,4)))</f>
      </c>
      <c r="AI70" s="143">
        <f t="shared" si="3"/>
        <v>0</v>
      </c>
      <c r="AJ70" s="135"/>
    </row>
    <row r="71" spans="1:36" s="170" customFormat="1" ht="10.5" customHeight="1">
      <c r="A71" s="158" t="s">
        <v>36</v>
      </c>
      <c r="B71" s="159"/>
      <c r="C71" s="160"/>
      <c r="D71" s="161" t="s">
        <v>37</v>
      </c>
      <c r="E71" s="162" t="s">
        <v>38</v>
      </c>
      <c r="F71" s="161"/>
      <c r="G71" s="163" t="s">
        <v>39</v>
      </c>
      <c r="H71" s="164" t="s">
        <v>40</v>
      </c>
      <c r="I71" s="165" t="s">
        <v>37</v>
      </c>
      <c r="J71" s="162" t="s">
        <v>41</v>
      </c>
      <c r="K71" s="166"/>
      <c r="L71" s="167" t="s">
        <v>42</v>
      </c>
      <c r="M71" s="168"/>
      <c r="N71" s="169" t="s">
        <v>43</v>
      </c>
      <c r="O71" s="169"/>
      <c r="P71" s="422" t="s">
        <v>44</v>
      </c>
      <c r="Q71" s="423"/>
      <c r="U71" s="30"/>
      <c r="V71" s="133">
        <v>27</v>
      </c>
      <c r="W71" s="133">
        <f>UPPER(IF($D$59="","",VLOOKUP($D$59,'[1]m kvalifikacije žrebna lista'!$A$7:$R$38,3)))</f>
      </c>
      <c r="X71" s="133">
        <f>PROPER(IF($D$59="","",VLOOKUP($D$59,'[1]m kvalifikacije žrebna lista'!$A$7:$R$38,4)))</f>
      </c>
      <c r="Y71" s="131">
        <f>IF(W71="","",IF($U$60&lt;&gt;$U$59,"",IF(OR($J$61="bb",$J$61=""),"0",$I$61)))</f>
      </c>
      <c r="Z71" s="131">
        <f>IF($W$45="","",IF($U$58&lt;&gt;$U$59,"",IF(OR($L$59="bb",$L$59=""),"0",$K$56)))</f>
      </c>
      <c r="AA71" s="131"/>
      <c r="AB71" s="131"/>
      <c r="AC71" s="131"/>
      <c r="AD71" s="131"/>
      <c r="AE71" s="143">
        <f t="shared" si="2"/>
        <v>0</v>
      </c>
      <c r="AF71" s="133">
        <f>IF($C59="","",'m kvalifikacije 32'!$C$7)</f>
      </c>
      <c r="AG71" s="133">
        <f>UPPER(IF($D$59="","",VLOOKUP($D$59,'[1]m kvalifikacije žrebna lista'!$A$7:$R$38,3)))</f>
      </c>
      <c r="AH71" s="133">
        <f>PROPER(IF($D$59="","",VLOOKUP($D$59,'[1]m kvalifikacije žrebna lista'!$A$7:$R$38,4)))</f>
      </c>
      <c r="AI71" s="143">
        <f t="shared" si="3"/>
        <v>0</v>
      </c>
      <c r="AJ71" s="171"/>
    </row>
    <row r="72" spans="1:36" s="170" customFormat="1" ht="9" customHeight="1">
      <c r="A72" s="172" t="s">
        <v>4</v>
      </c>
      <c r="B72" s="173"/>
      <c r="C72" s="174"/>
      <c r="D72" s="51">
        <v>1</v>
      </c>
      <c r="E72" s="175" t="str">
        <f>UPPER(IF($D72="","",VLOOKUP($D72,'[1]m kvalifikacije žrebna lista'!$A$7:$R$38,3)))</f>
        <v>ČAČIČ</v>
      </c>
      <c r="F72" s="51"/>
      <c r="G72" s="176">
        <f>IF($D72="","",VLOOKUP($D72,'[1]m kvalifikacije žrebna lista'!$A$7:$R$38,10))</f>
        <v>53</v>
      </c>
      <c r="H72" s="177">
        <f>IF($D72="","",VLOOKUP($D72,'[1]m kvalifikacije žrebna lista'!$A$7:$R$38,14))</f>
        <v>10</v>
      </c>
      <c r="I72" s="178" t="s">
        <v>45</v>
      </c>
      <c r="J72" s="173"/>
      <c r="K72" s="173"/>
      <c r="L72" s="173"/>
      <c r="M72" s="179"/>
      <c r="N72" s="180" t="s">
        <v>46</v>
      </c>
      <c r="O72" s="181"/>
      <c r="P72" s="181"/>
      <c r="Q72" s="179"/>
      <c r="U72" s="30"/>
      <c r="V72" s="133">
        <v>28</v>
      </c>
      <c r="W72" s="133" t="str">
        <f>UPPER(IF($D$61="","",VLOOKUP($D$61,'[1]m kvalifikacije žrebna lista'!$A$7:$R$38,3)))</f>
        <v>LAVRENČIČ</v>
      </c>
      <c r="X72" s="133" t="str">
        <f>PROPER(IF($D$61="","",VLOOKUP($D$61,'[1]m kvalifikacije žrebna lista'!$A$7:$R$38,4)))</f>
        <v>Nejc</v>
      </c>
      <c r="Y72" s="131" t="str">
        <f>IF(W72="","",IF($U$60&lt;&gt;$U$61,"",IF(OR($J$61="bb",$J$61=""),"0",$I$59)))</f>
        <v>0</v>
      </c>
      <c r="Z72" s="131">
        <f>IF($W$45="","",IF($U$58&lt;&gt;$U$61,"",IF(OR($L$59="bb",$L$59=""),"0",$K$56)))</f>
        <v>10</v>
      </c>
      <c r="AA72" s="131"/>
      <c r="AB72" s="131"/>
      <c r="AC72" s="131"/>
      <c r="AD72" s="131"/>
      <c r="AE72" s="143">
        <f t="shared" si="2"/>
        <v>10</v>
      </c>
      <c r="AF72" s="133">
        <f>IF($C61="","",'m kvalifikacije 32'!$C$7)</f>
        <v>6170</v>
      </c>
      <c r="AG72" s="133" t="str">
        <f>UPPER(IF($D$61="","",VLOOKUP($D$61,'[1]m kvalifikacije žrebna lista'!$A$7:$R$38,3)))</f>
        <v>LAVRENČIČ</v>
      </c>
      <c r="AH72" s="133" t="str">
        <f>PROPER(IF($D$61="","",VLOOKUP($D$61,'[1]m kvalifikacije žrebna lista'!$A$7:$R$38,4)))</f>
        <v>Nejc</v>
      </c>
      <c r="AI72" s="143">
        <f t="shared" si="3"/>
        <v>20</v>
      </c>
      <c r="AJ72" s="171"/>
    </row>
    <row r="73" spans="1:36" s="170" customFormat="1" ht="9" customHeight="1">
      <c r="A73" s="424">
        <v>40695</v>
      </c>
      <c r="B73" s="425"/>
      <c r="C73" s="426"/>
      <c r="D73" s="51">
        <v>2</v>
      </c>
      <c r="E73" s="175" t="str">
        <f>UPPER(IF($D73="","",VLOOKUP($D73,'[1]m kvalifikacije žrebna lista'!$A$7:$R$38,3)))</f>
        <v>FRANK</v>
      </c>
      <c r="F73" s="51"/>
      <c r="G73" s="176">
        <f>IF($D73="","",VLOOKUP($D73,'[1]m kvalifikacije žrebna lista'!$A$7:$R$38,10))</f>
        <v>56</v>
      </c>
      <c r="H73" s="177">
        <f>IF($D73="","",VLOOKUP($D73,'[1]m kvalifikacije žrebna lista'!$A$7:$R$38,14))</f>
        <v>10</v>
      </c>
      <c r="I73" s="182" t="s">
        <v>47</v>
      </c>
      <c r="J73" s="173"/>
      <c r="K73" s="173"/>
      <c r="L73" s="173"/>
      <c r="M73" s="179"/>
      <c r="N73" s="183" t="s">
        <v>48</v>
      </c>
      <c r="O73" s="184"/>
      <c r="P73" s="185"/>
      <c r="Q73" s="186"/>
      <c r="U73" s="30"/>
      <c r="V73" s="133">
        <v>29</v>
      </c>
      <c r="W73" s="133" t="str">
        <f>UPPER(IF($D$63="","",VLOOKUP($D$63,'[1]m kvalifikacije žrebna lista'!$A$7:$R$38,3)))</f>
        <v>ŠTER</v>
      </c>
      <c r="X73" s="133" t="str">
        <f>PROPER(IF($D$63="","",VLOOKUP($D$63,'[1]m kvalifikacije žrebna lista'!$A$7:$R$38,4)))</f>
        <v>Nejc</v>
      </c>
      <c r="Y73" s="131" t="str">
        <f>IF(W73="","",IF($U$64&lt;&gt;$U$63,"",IF(OR($J$65="bb",$J$65=""),"0",$I$65)))</f>
        <v>0</v>
      </c>
      <c r="Z73" s="131">
        <f>IF($W$45="","",IF($U$66&lt;&gt;$U$63,"",IF(OR($L$67="bb",$L$67=""),"0",$K$68)))</f>
        <v>10</v>
      </c>
      <c r="AA73" s="131"/>
      <c r="AB73" s="131"/>
      <c r="AC73" s="131"/>
      <c r="AD73" s="131"/>
      <c r="AE73" s="143">
        <f t="shared" si="2"/>
        <v>10</v>
      </c>
      <c r="AF73" s="133">
        <f>IF($C63="","",'m kvalifikacije 32'!$C$7)</f>
        <v>6170</v>
      </c>
      <c r="AG73" s="133" t="str">
        <f>UPPER(IF($D$63="","",VLOOKUP($D$63,'[1]m kvalifikacije žrebna lista'!$A$7:$R$38,3)))</f>
        <v>ŠTER</v>
      </c>
      <c r="AH73" s="133" t="str">
        <f>PROPER(IF($D$63="","",VLOOKUP($D$63,'[1]m kvalifikacije žrebna lista'!$A$7:$R$38,4)))</f>
        <v>Nejc</v>
      </c>
      <c r="AI73" s="143">
        <f t="shared" si="3"/>
        <v>20</v>
      </c>
      <c r="AJ73" s="171"/>
    </row>
    <row r="74" spans="1:36" s="170" customFormat="1" ht="9" customHeight="1">
      <c r="A74" s="187"/>
      <c r="B74" s="188"/>
      <c r="C74" s="189"/>
      <c r="D74" s="51">
        <v>3</v>
      </c>
      <c r="E74" s="175" t="str">
        <f>UPPER(IF($D74="","",VLOOKUP($D74,'[1]m kvalifikacije žrebna lista'!$A$7:$R$38,3)))</f>
        <v>ŽMAVC</v>
      </c>
      <c r="F74" s="51"/>
      <c r="G74" s="176">
        <f>IF($D74="","",VLOOKUP($D74,'[1]m kvalifikacije žrebna lista'!$A$7:$R$38,10))</f>
        <v>57</v>
      </c>
      <c r="H74" s="177">
        <f>IF($D74="","",VLOOKUP($D74,'[1]m kvalifikacije žrebna lista'!$A$7:$R$38,14))</f>
        <v>10</v>
      </c>
      <c r="I74" s="182" t="s">
        <v>49</v>
      </c>
      <c r="J74" s="173"/>
      <c r="K74" s="173"/>
      <c r="L74" s="173"/>
      <c r="M74" s="179"/>
      <c r="N74" s="180" t="s">
        <v>50</v>
      </c>
      <c r="O74" s="181"/>
      <c r="P74" s="181"/>
      <c r="Q74" s="179"/>
      <c r="U74" s="30"/>
      <c r="V74" s="133">
        <v>30</v>
      </c>
      <c r="W74" s="133">
        <f>UPPER(IF($D$65="","",VLOOKUP($D$65,'[1]m kvalifikacije žrebna lista'!$A$7:$R$38,3)))</f>
      </c>
      <c r="X74" s="133">
        <f>PROPER(IF($D$65="","",VLOOKUP($D$65,'[1]m kvalifikacije žrebna lista'!$A$7:$R$38,4)))</f>
      </c>
      <c r="Y74" s="131">
        <f>IF(W74="","",IF($U$64&lt;&gt;$U$65,"",IF(OR($J$65="bb",$J$65=""),"0",$I$63)))</f>
      </c>
      <c r="Z74" s="131">
        <f>IF($W$45="","",IF($U$66&lt;&gt;$U$65,"",IF(OR($L$67="bb",$L$67=""),"0",$K$68)))</f>
      </c>
      <c r="AA74" s="131"/>
      <c r="AB74" s="131"/>
      <c r="AC74" s="131"/>
      <c r="AD74" s="131"/>
      <c r="AE74" s="143">
        <f t="shared" si="2"/>
        <v>0</v>
      </c>
      <c r="AF74" s="133">
        <f>IF($C65="","",'m kvalifikacije 32'!$C$7)</f>
      </c>
      <c r="AG74" s="133">
        <f>UPPER(IF($D$65="","",VLOOKUP($D$65,'[1]m kvalifikacije žrebna lista'!$A$7:$R$38,3)))</f>
      </c>
      <c r="AH74" s="133">
        <f>PROPER(IF($D$65="","",VLOOKUP($D$65,'[1]m kvalifikacije žrebna lista'!$A$7:$R$38,4)))</f>
      </c>
      <c r="AI74" s="143">
        <f t="shared" si="3"/>
        <v>0</v>
      </c>
      <c r="AJ74" s="171"/>
    </row>
    <row r="75" spans="1:36" s="170" customFormat="1" ht="9" customHeight="1">
      <c r="A75" s="190"/>
      <c r="B75" s="50"/>
      <c r="C75" s="174"/>
      <c r="D75" s="51">
        <v>4</v>
      </c>
      <c r="E75" s="175" t="str">
        <f>UPPER(IF($D75="","",VLOOKUP($D75,'[1]m kvalifikacije žrebna lista'!$A$7:$R$38,3)))</f>
        <v>NIKOLAŠ</v>
      </c>
      <c r="F75" s="51"/>
      <c r="G75" s="176">
        <f>IF($D75="","",VLOOKUP($D75,'[1]m kvalifikacije žrebna lista'!$A$7:$R$38,10))</f>
        <v>58</v>
      </c>
      <c r="H75" s="177">
        <f>IF($D75="","",VLOOKUP($D75,'[1]m kvalifikacije žrebna lista'!$A$7:$R$38,14))</f>
        <v>10</v>
      </c>
      <c r="I75" s="182" t="s">
        <v>51</v>
      </c>
      <c r="J75" s="173"/>
      <c r="K75" s="173"/>
      <c r="L75" s="173"/>
      <c r="M75" s="179"/>
      <c r="N75" s="173" t="s">
        <v>172</v>
      </c>
      <c r="O75" s="54"/>
      <c r="P75" s="173"/>
      <c r="Q75" s="179"/>
      <c r="U75" s="30"/>
      <c r="V75" s="133">
        <v>31</v>
      </c>
      <c r="W75" s="133">
        <f>UPPER(IF($D$67="","",VLOOKUP($D$67,'[1]m kvalifikacije žrebna lista'!$A$7:$R$38,3)))</f>
      </c>
      <c r="X75" s="133">
        <f>PROPER(IF($D$67="","",VLOOKUP($D$67,'[1]m kvalifikacije žrebna lista'!$A$7:$R$38,4)))</f>
      </c>
      <c r="Y75" s="131">
        <f>IF(W75="","",IF($U$68&lt;&gt;$U$67,"",IF(OR($J$69="bb",$J$69=""),"0",$I$69)))</f>
      </c>
      <c r="Z75" s="131">
        <f>IF($W$45="","",IF($U$66&lt;&gt;$U$67,"",IF(OR($L$67="bb",$L$67=""),"0",$K$64)))</f>
      </c>
      <c r="AA75" s="131"/>
      <c r="AB75" s="131"/>
      <c r="AC75" s="131"/>
      <c r="AD75" s="131"/>
      <c r="AE75" s="143">
        <f t="shared" si="2"/>
        <v>0</v>
      </c>
      <c r="AF75" s="133">
        <f>IF($C67="","",'m kvalifikacije 32'!$C$7)</f>
      </c>
      <c r="AG75" s="133">
        <f>UPPER(IF($D$67="","",VLOOKUP($D$67,'[1]m kvalifikacije žrebna lista'!$A$7:$R$38,3)))</f>
      </c>
      <c r="AH75" s="133">
        <f>PROPER(IF($D$67="","",VLOOKUP($D$67,'[1]m kvalifikacije žrebna lista'!$A$7:$R$38,4)))</f>
      </c>
      <c r="AI75" s="143">
        <f t="shared" si="3"/>
        <v>0</v>
      </c>
      <c r="AJ75" s="171"/>
    </row>
    <row r="76" spans="1:36" s="170" customFormat="1" ht="9" customHeight="1">
      <c r="A76" s="191"/>
      <c r="B76" s="192"/>
      <c r="C76" s="193"/>
      <c r="D76" s="51">
        <v>5</v>
      </c>
      <c r="E76" s="175" t="str">
        <f>UPPER(IF($D76="","",VLOOKUP($D76,'[1]m kvalifikacije žrebna lista'!$A$7:$R$38,3)))</f>
        <v>DROBNIČ</v>
      </c>
      <c r="F76" s="51"/>
      <c r="G76" s="176">
        <f>IF($D76="","",VLOOKUP($D76,'[1]m kvalifikacije žrebna lista'!$A$7:$R$38,10))</f>
        <v>59</v>
      </c>
      <c r="H76" s="177">
        <f>IF($D76="","",VLOOKUP($D76,'[1]m kvalifikacije žrebna lista'!$A$7:$R$38,14))</f>
        <v>10</v>
      </c>
      <c r="I76" s="182" t="s">
        <v>52</v>
      </c>
      <c r="J76" s="173"/>
      <c r="K76" s="173"/>
      <c r="L76" s="173"/>
      <c r="M76" s="179"/>
      <c r="N76" s="185" t="s">
        <v>53</v>
      </c>
      <c r="O76" s="184"/>
      <c r="P76" s="185"/>
      <c r="Q76" s="186"/>
      <c r="U76" s="30"/>
      <c r="V76" s="133">
        <v>32</v>
      </c>
      <c r="W76" s="133" t="str">
        <f>UPPER(IF($D$69="","",VLOOKUP($D$69,'[1]m kvalifikacije žrebna lista'!$A$7:$R$38,3)))</f>
        <v>PURIĆ</v>
      </c>
      <c r="X76" s="133" t="str">
        <f>PROPER(IF($D$69="","",VLOOKUP($D$69,'[1]m kvalifikacije žrebna lista'!$A$7:$R$38,4)))</f>
        <v>Dorian</v>
      </c>
      <c r="Y76" s="131" t="str">
        <f>IF(W76="","",IF($U$68&lt;&gt;$U$69,"",IF(OR($J$69="bb",$J$69=""),"0",$I$67)))</f>
        <v>0</v>
      </c>
      <c r="Z76" s="131">
        <f>IF($W$45="","",IF($U$66&lt;&gt;$U$69,"",IF(OR($L$67="bb",$L$67=""),"0",$K$64)))</f>
      </c>
      <c r="AA76" s="131"/>
      <c r="AB76" s="131"/>
      <c r="AC76" s="131"/>
      <c r="AD76" s="131"/>
      <c r="AE76" s="143">
        <f t="shared" si="2"/>
        <v>0</v>
      </c>
      <c r="AF76" s="133">
        <f>IF($C69="","",'m kvalifikacije 32'!$C$7)</f>
        <v>6170</v>
      </c>
      <c r="AG76" s="133" t="str">
        <f>UPPER(IF($D$69="","",VLOOKUP($D$69,'[1]m kvalifikacije žrebna lista'!$A$7:$R$38,3)))</f>
        <v>PURIĆ</v>
      </c>
      <c r="AH76" s="133" t="str">
        <f>PROPER(IF($D$69="","",VLOOKUP($D$69,'[1]m kvalifikacije žrebna lista'!$A$7:$R$38,4)))</f>
        <v>Dorian</v>
      </c>
      <c r="AI76" s="143">
        <f t="shared" si="3"/>
        <v>8</v>
      </c>
      <c r="AJ76" s="171"/>
    </row>
    <row r="77" spans="1:36" s="170" customFormat="1" ht="9" customHeight="1">
      <c r="A77" s="172"/>
      <c r="B77" s="173"/>
      <c r="C77" s="174"/>
      <c r="D77" s="51">
        <v>6</v>
      </c>
      <c r="E77" s="175" t="str">
        <f>UPPER(IF($D77="","",VLOOKUP($D77,'[1]m kvalifikacije žrebna lista'!$A$7:$R$38,3)))</f>
        <v>KAPLJA</v>
      </c>
      <c r="F77" s="51"/>
      <c r="G77" s="176">
        <f>IF($D77="","",VLOOKUP($D77,'[1]m kvalifikacije žrebna lista'!$A$7:$R$38,10))</f>
        <v>63</v>
      </c>
      <c r="H77" s="177">
        <f>IF($D77="","",VLOOKUP($D77,'[1]m kvalifikacije žrebna lista'!$A$7:$R$38,14))</f>
        <v>10</v>
      </c>
      <c r="I77" s="182" t="s">
        <v>54</v>
      </c>
      <c r="J77" s="173"/>
      <c r="K77" s="173"/>
      <c r="L77" s="173"/>
      <c r="M77" s="179"/>
      <c r="N77" s="180" t="s">
        <v>53</v>
      </c>
      <c r="O77" s="181"/>
      <c r="P77" s="181"/>
      <c r="Q77" s="179"/>
      <c r="U77" s="30"/>
      <c r="V77" s="171"/>
      <c r="W77" s="171"/>
      <c r="X77" s="171"/>
      <c r="Y77" s="133"/>
      <c r="Z77" s="133"/>
      <c r="AA77" s="133"/>
      <c r="AB77" s="133"/>
      <c r="AC77" s="133"/>
      <c r="AD77" s="133"/>
      <c r="AE77" s="133"/>
      <c r="AF77" s="133"/>
      <c r="AG77" s="171"/>
      <c r="AH77" s="171"/>
      <c r="AI77" s="194"/>
      <c r="AJ77" s="171"/>
    </row>
    <row r="78" spans="1:36" s="170" customFormat="1" ht="9" customHeight="1">
      <c r="A78" s="172"/>
      <c r="B78" s="173"/>
      <c r="C78" s="195"/>
      <c r="D78" s="51">
        <v>7</v>
      </c>
      <c r="E78" s="175" t="str">
        <f>UPPER(IF($D78="","",VLOOKUP($D78,'[1]m kvalifikacije žrebna lista'!$A$7:$R$38,3)))</f>
        <v>HOBACHER</v>
      </c>
      <c r="F78" s="51"/>
      <c r="G78" s="176">
        <f>IF($D78="","",VLOOKUP($D78,'[1]m kvalifikacije žrebna lista'!$A$7:$R$38,10))</f>
        <v>64</v>
      </c>
      <c r="H78" s="177">
        <f>IF($D78="","",VLOOKUP($D78,'[1]m kvalifikacije žrebna lista'!$A$7:$R$38,14))</f>
        <v>10</v>
      </c>
      <c r="I78" s="182" t="s">
        <v>55</v>
      </c>
      <c r="J78" s="173"/>
      <c r="K78" s="173"/>
      <c r="L78" s="173"/>
      <c r="M78" s="179"/>
      <c r="N78" s="173" t="s">
        <v>7</v>
      </c>
      <c r="O78" s="54"/>
      <c r="P78" s="417" t="str">
        <f>'[1]vnos podatkov'!$B$10</f>
        <v>Mladen Sredojevič</v>
      </c>
      <c r="Q78" s="418"/>
      <c r="U78" s="30"/>
      <c r="V78" s="171"/>
      <c r="W78" s="171"/>
      <c r="X78" s="171"/>
      <c r="Y78" s="131">
        <f>COUNTIF(Y45:Y76,"&gt;0")</f>
        <v>6</v>
      </c>
      <c r="Z78" s="131">
        <f>COUNTIF(Z45:Z76,"&gt;0")</f>
        <v>8</v>
      </c>
      <c r="AA78" s="131"/>
      <c r="AB78" s="131"/>
      <c r="AC78" s="131"/>
      <c r="AD78" s="131"/>
      <c r="AE78" s="131">
        <f>COUNTIF(AE45:AE76,"&gt;0")</f>
        <v>13</v>
      </c>
      <c r="AF78" s="133"/>
      <c r="AG78" s="171"/>
      <c r="AH78" s="171"/>
      <c r="AI78" s="131">
        <f>COUNTIF(AI45:AI76,"&gt;0")</f>
        <v>22</v>
      </c>
      <c r="AJ78" s="171"/>
    </row>
    <row r="79" spans="1:36" s="170" customFormat="1" ht="9" customHeight="1">
      <c r="A79" s="196"/>
      <c r="B79" s="185"/>
      <c r="C79" s="197"/>
      <c r="D79" s="198">
        <v>8</v>
      </c>
      <c r="E79" s="183" t="str">
        <f>UPPER(IF($D79="","",VLOOKUP($D79,'[1]m kvalifikacije žrebna lista'!$A$7:$R$38,3)))</f>
        <v>ŠTER</v>
      </c>
      <c r="F79" s="198"/>
      <c r="G79" s="199">
        <f>IF($D79="","",VLOOKUP($D79,'[1]m kvalifikacije žrebna lista'!$A$7:$R$38,10))</f>
        <v>70</v>
      </c>
      <c r="H79" s="200">
        <f>IF($D79="","",VLOOKUP($D79,'[1]m kvalifikacije žrebna lista'!$A$7:$R$38,14))</f>
        <v>10</v>
      </c>
      <c r="I79" s="201" t="s">
        <v>56</v>
      </c>
      <c r="J79" s="185" t="s">
        <v>57</v>
      </c>
      <c r="K79" s="185"/>
      <c r="L79" s="185"/>
      <c r="M79" s="186"/>
      <c r="N79" s="185" t="s">
        <v>58</v>
      </c>
      <c r="O79" s="184"/>
      <c r="P79" s="413" t="str">
        <f>'[1]vnos podatkov'!$E$10</f>
        <v>Anja Regent</v>
      </c>
      <c r="Q79" s="414"/>
      <c r="U79" s="30"/>
      <c r="V79" s="171"/>
      <c r="W79" s="171"/>
      <c r="X79" s="171"/>
      <c r="Y79" s="171"/>
      <c r="Z79" s="171"/>
      <c r="AA79" s="171"/>
      <c r="AB79" s="171"/>
      <c r="AC79" s="171"/>
      <c r="AD79" s="171"/>
      <c r="AE79" s="171"/>
      <c r="AF79" s="133"/>
      <c r="AG79" s="171"/>
      <c r="AH79" s="171"/>
      <c r="AI79" s="171"/>
      <c r="AJ79" s="171"/>
    </row>
  </sheetData>
  <sheetProtection/>
  <mergeCells count="8">
    <mergeCell ref="F3:G3"/>
    <mergeCell ref="F4:G4"/>
    <mergeCell ref="V41:AA41"/>
    <mergeCell ref="A73:C73"/>
    <mergeCell ref="P78:Q78"/>
    <mergeCell ref="P79:Q79"/>
    <mergeCell ref="P60:Q61"/>
    <mergeCell ref="P71:Q71"/>
  </mergeCells>
  <conditionalFormatting sqref="G39 G41 G7 G9 G11 G13 G15 G17 G19 G23 G43 G45 G47 G49 G51 G53 G21 G25 G27 G29 G31 G33 G35 G37 G55 G57 G59 G61 G63 G65 G67 G69">
    <cfRule type="expression" priority="1" dxfId="10" stopIfTrue="1">
      <formula>AND($D7&lt;9,$C7&gt;0)</formula>
    </cfRule>
  </conditionalFormatting>
  <conditionalFormatting sqref="L62 L46 L30 L14">
    <cfRule type="expression" priority="2" dxfId="4" stopIfTrue="1">
      <formula>AND($N$1="CU",L14="Umpire")</formula>
    </cfRule>
    <cfRule type="expression" priority="3" dxfId="3" stopIfTrue="1">
      <formula>AND($N$1="CU",L14&lt;&gt;"Umpire",M14&lt;&gt;"")</formula>
    </cfRule>
    <cfRule type="expression" priority="4" dxfId="2" stopIfTrue="1">
      <formula>AND($N$1="CU",L14&lt;&gt;"Umpire")</formula>
    </cfRule>
  </conditionalFormatting>
  <conditionalFormatting sqref="L10 L18 L26 L34 L42 L50 L58 L66 N14 N30 N46 N62 J8 J12 J16 J20 J24 J28 J32 J36 J40 J44 J48 J52 J56 J60 J64 J68">
    <cfRule type="expression" priority="5" dxfId="10" stopIfTrue="1">
      <formula>I8="as"</formula>
    </cfRule>
    <cfRule type="expression" priority="6" dxfId="10" stopIfTrue="1">
      <formula>I8="bs"</formula>
    </cfRule>
  </conditionalFormatting>
  <conditionalFormatting sqref="B7 B9 B11 B13 B15 B17 B19 B21 B23 B25 B27 B29 B31 B33 B35 B37 B39 B41 B43 B45 B47 B49 B51 B53 B55 B57 B59 B61 B63 B65 B67 B69">
    <cfRule type="cellIs" priority="7" dxfId="8" operator="equal" stopIfTrue="1">
      <formula>"QA"</formula>
    </cfRule>
    <cfRule type="cellIs" priority="8" dxfId="8" operator="equal" stopIfTrue="1">
      <formula>"DA"</formula>
    </cfRule>
  </conditionalFormatting>
  <conditionalFormatting sqref="I8 I12 I16 I20 I24 I28 I32 I36 I40 I44 I48 I52 I56 I60 I64 I68 K66 K58 K50 K42 K34 K26 K18 K10">
    <cfRule type="expression" priority="9" dxfId="7" stopIfTrue="1">
      <formula>$N$1="CU"</formula>
    </cfRule>
  </conditionalFormatting>
  <conditionalFormatting sqref="M14 M30 M46 M62">
    <cfRule type="expression" priority="10" dxfId="5" stopIfTrue="1">
      <formula>$N$1="CU"</formula>
    </cfRule>
  </conditionalFormatting>
  <conditionalFormatting sqref="N39 H8 H12 H16 H20 H24 H28 H32 H36 H40 H44 J10 H56 H60 H64 H68 J66 J58 J50 J42 J34 J26 J18 H52 H48 H50">
    <cfRule type="expression" priority="11" dxfId="4" stopIfTrue="1">
      <formula>AND($N$1="CU",H8="Sodnik")</formula>
    </cfRule>
    <cfRule type="expression" priority="12" dxfId="3" stopIfTrue="1">
      <formula>AND($N$1="CU",H8&lt;&gt;"Sodnik",I8&lt;&gt;"")</formula>
    </cfRule>
    <cfRule type="expression" priority="13" dxfId="2" stopIfTrue="1">
      <formula>AND($N$1="CU",H8&lt;&gt;"Sodnik")</formula>
    </cfRule>
  </conditionalFormatting>
  <conditionalFormatting sqref="D9 D11 D13 D67 D17 D19 D25 D27 D29 D65 D33 D35 D41 D43 D45 D61 D49 D51 D57 D59 D53 D37 D21 D69">
    <cfRule type="expression" priority="14" dxfId="1" stopIfTrue="1">
      <formula>$D9&gt;0</formula>
    </cfRule>
  </conditionalFormatting>
  <conditionalFormatting sqref="D7 D15 D23 D31 D39 D47 D55 D63">
    <cfRule type="expression" priority="15" dxfId="0" stopIfTrue="1">
      <formula>$D7&lt;&gt;""</formula>
    </cfRule>
  </conditionalFormatting>
  <dataValidations count="1">
    <dataValidation type="list" allowBlank="1" showInputMessage="1" sqref="N39 H20 H8 H24 H12 H36 H16 H40 H44 H28 H32 J10 H56 H60 H64 H68 J66 J58 J50 J42 J34 J26 J18 L14 L30 L46 L62 H52 H48 H50">
      <formula1>$T$7:$T$16</formula1>
    </dataValidation>
  </dataValidations>
  <printOptions horizontalCentered="1"/>
  <pageMargins left="0.35" right="0.35" top="0.39" bottom="0.39" header="0" footer="0"/>
  <pageSetup fitToHeight="1" fitToWidth="1" horizontalDpi="360" verticalDpi="360" orientation="portrait" paperSize="9" scale="97"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J79"/>
  <sheetViews>
    <sheetView showGridLines="0" showZeros="0" zoomScalePageLayoutView="0" workbookViewId="0" topLeftCell="A1">
      <selection activeCell="A2" sqref="A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0.9921875" style="202" customWidth="1"/>
    <col min="10" max="10" width="10.7109375" style="0" customWidth="1"/>
    <col min="11" max="11" width="1.28515625" style="202" customWidth="1"/>
    <col min="12" max="12" width="10.7109375" style="0" customWidth="1"/>
    <col min="13" max="13" width="1.7109375" style="203" customWidth="1"/>
    <col min="14" max="14" width="10.7109375" style="0" customWidth="1"/>
    <col min="15" max="15" width="1.7109375" style="204" customWidth="1"/>
    <col min="16" max="16" width="10.7109375" style="0" customWidth="1"/>
    <col min="17" max="17" width="4.28125" style="203" customWidth="1"/>
    <col min="18" max="18" width="0.85546875" style="0" hidden="1" customWidth="1"/>
    <col min="19" max="19" width="2.28125" style="0" hidden="1" customWidth="1"/>
    <col min="20" max="20" width="4.00390625" style="0" hidden="1" customWidth="1"/>
    <col min="21" max="21" width="9.140625" style="203" customWidth="1"/>
    <col min="22" max="22" width="4.421875" style="0" customWidth="1"/>
    <col min="27" max="27" width="11.421875" style="0" customWidth="1"/>
    <col min="28" max="30" width="9.140625" style="0" hidden="1" customWidth="1"/>
    <col min="31" max="31" width="9.8515625" style="0" customWidth="1"/>
    <col min="32" max="32" width="9.140625" style="203" customWidth="1"/>
    <col min="35" max="35" width="10.140625" style="0" customWidth="1"/>
  </cols>
  <sheetData>
    <row r="1" spans="1:32" s="9" customFormat="1" ht="21.75" customHeight="1">
      <c r="A1" s="2" t="s">
        <v>169</v>
      </c>
      <c r="B1" s="2"/>
      <c r="C1" s="3"/>
      <c r="D1" s="3"/>
      <c r="E1" s="3"/>
      <c r="F1" s="3"/>
      <c r="G1" s="3"/>
      <c r="H1" s="4"/>
      <c r="I1" s="3"/>
      <c r="J1" s="205" t="s">
        <v>0</v>
      </c>
      <c r="K1" s="6"/>
      <c r="L1" s="7"/>
      <c r="M1" s="8"/>
      <c r="N1" s="8" t="s">
        <v>1</v>
      </c>
      <c r="O1" s="8"/>
      <c r="P1" s="3"/>
      <c r="Q1" s="8"/>
      <c r="U1" s="10"/>
      <c r="V1" s="11" t="str">
        <f>'[1]vnos podatkov'!$A$6</f>
        <v>OP 16 TK PORTOROŽ</v>
      </c>
      <c r="AF1" s="12"/>
    </row>
    <row r="2" spans="1:32" s="19" customFormat="1" ht="15.75">
      <c r="A2" s="13">
        <f>'[1]vnos podatkov'!$A$8</f>
        <v>16</v>
      </c>
      <c r="B2" s="14" t="str">
        <f>'[1]vnos podatkov'!$B$8</f>
        <v>mž</v>
      </c>
      <c r="C2" s="15" t="str">
        <f>'[1]vnos podatkov'!$C$8</f>
        <v>A turnir</v>
      </c>
      <c r="D2" s="14"/>
      <c r="E2" s="14"/>
      <c r="F2" s="16"/>
      <c r="G2" s="17"/>
      <c r="H2" s="17"/>
      <c r="I2" s="17"/>
      <c r="J2" s="205" t="s">
        <v>59</v>
      </c>
      <c r="K2" s="6"/>
      <c r="L2" s="6"/>
      <c r="M2" s="18"/>
      <c r="N2" s="17"/>
      <c r="O2" s="18"/>
      <c r="P2" s="17"/>
      <c r="Q2" s="18"/>
      <c r="U2" s="20"/>
      <c r="V2" s="21">
        <f>'[1]vnos podatkov'!$A$8</f>
        <v>16</v>
      </c>
      <c r="W2" s="22" t="str">
        <f>'[1]vnos podatkov'!$B$8</f>
        <v>mž</v>
      </c>
      <c r="X2" s="22" t="str">
        <f>'[1]vnos podatkov'!$C$8</f>
        <v>A turnir</v>
      </c>
      <c r="Y2" s="23" t="str">
        <f>'[1]vnos podatkov'!$A$10</f>
        <v>20./22.7.2011</v>
      </c>
      <c r="AF2" s="24"/>
    </row>
    <row r="3" spans="1:32" s="29" customFormat="1" ht="11.25" customHeight="1">
      <c r="A3" s="25" t="s">
        <v>3</v>
      </c>
      <c r="B3" s="25"/>
      <c r="C3" s="25"/>
      <c r="D3" s="25" t="s">
        <v>4</v>
      </c>
      <c r="E3" s="25"/>
      <c r="F3" s="411" t="s">
        <v>5</v>
      </c>
      <c r="G3" s="411"/>
      <c r="H3" s="25"/>
      <c r="I3" s="27"/>
      <c r="J3" s="26" t="s">
        <v>6</v>
      </c>
      <c r="K3" s="27"/>
      <c r="L3" s="25" t="s">
        <v>7</v>
      </c>
      <c r="M3" s="27"/>
      <c r="N3" s="26" t="s">
        <v>60</v>
      </c>
      <c r="O3" s="27"/>
      <c r="P3" s="25"/>
      <c r="Q3" s="28" t="s">
        <v>9</v>
      </c>
      <c r="U3" s="30"/>
      <c r="V3" s="31" t="s">
        <v>10</v>
      </c>
      <c r="W3" s="32"/>
      <c r="X3" s="33"/>
      <c r="Y3" s="34"/>
      <c r="Z3" s="35"/>
      <c r="AA3" s="36"/>
      <c r="AB3" s="36"/>
      <c r="AC3" s="36"/>
      <c r="AD3" s="36"/>
      <c r="AE3" s="37"/>
      <c r="AF3" s="38"/>
    </row>
    <row r="4" spans="1:32" s="45" customFormat="1" ht="11.25" customHeight="1" thickBot="1">
      <c r="A4" s="39" t="str">
        <f>'[1]vnos podatkov'!$D$8</f>
        <v>OP</v>
      </c>
      <c r="B4" s="39"/>
      <c r="C4" s="39"/>
      <c r="D4" s="39" t="str">
        <f>'[1]vnos podatkov'!$A$10</f>
        <v>20./22.7.2011</v>
      </c>
      <c r="E4" s="40"/>
      <c r="F4" s="428" t="str">
        <f>'[1]vnos podatkov'!$C$10</f>
        <v>TK Portorož</v>
      </c>
      <c r="G4" s="428"/>
      <c r="H4" s="40"/>
      <c r="I4" s="40"/>
      <c r="J4" s="41">
        <f>'[1]vnos podatkov'!$D$10</f>
        <v>2</v>
      </c>
      <c r="K4" s="40"/>
      <c r="L4" s="42" t="str">
        <f>'[1]vnos podatkov'!$B$10</f>
        <v>Mladen Sredojevič</v>
      </c>
      <c r="M4" s="40"/>
      <c r="N4" s="43">
        <f>COUNTIF(C7:C69,"&gt;0")</f>
        <v>10</v>
      </c>
      <c r="O4" s="40"/>
      <c r="P4" s="40"/>
      <c r="Q4" s="44" t="str">
        <f>'[1]vnos podatkov'!$E$10</f>
        <v>Anja Regent</v>
      </c>
      <c r="U4" s="46"/>
      <c r="V4" s="47"/>
      <c r="W4" s="47"/>
      <c r="X4" s="47"/>
      <c r="Y4" s="48"/>
      <c r="Z4" s="48"/>
      <c r="AA4" s="48"/>
      <c r="AB4" s="48"/>
      <c r="AC4" s="48"/>
      <c r="AD4" s="48"/>
      <c r="AE4" s="48"/>
      <c r="AF4" s="49"/>
    </row>
    <row r="5" spans="1:32" s="29" customFormat="1" ht="11.25">
      <c r="A5" s="50"/>
      <c r="B5" s="51" t="s">
        <v>11</v>
      </c>
      <c r="C5" s="51" t="s">
        <v>12</v>
      </c>
      <c r="D5" s="51" t="s">
        <v>61</v>
      </c>
      <c r="E5" s="52" t="s">
        <v>14</v>
      </c>
      <c r="F5" s="52" t="s">
        <v>15</v>
      </c>
      <c r="G5" s="52"/>
      <c r="H5" s="52" t="s">
        <v>5</v>
      </c>
      <c r="I5" s="52"/>
      <c r="J5" s="51" t="s">
        <v>62</v>
      </c>
      <c r="K5" s="51"/>
      <c r="L5" s="51" t="s">
        <v>63</v>
      </c>
      <c r="M5" s="53"/>
      <c r="N5" s="51"/>
      <c r="O5" s="53"/>
      <c r="P5" s="51"/>
      <c r="Q5" s="54"/>
      <c r="U5" s="30"/>
      <c r="V5" s="55" t="s">
        <v>18</v>
      </c>
      <c r="W5" s="56" t="s">
        <v>14</v>
      </c>
      <c r="X5" s="57" t="s">
        <v>15</v>
      </c>
      <c r="Y5" s="35" t="s">
        <v>19</v>
      </c>
      <c r="Z5" s="58" t="s">
        <v>20</v>
      </c>
      <c r="AA5" s="58" t="s">
        <v>64</v>
      </c>
      <c r="AB5" s="58"/>
      <c r="AC5" s="58"/>
      <c r="AD5" s="58"/>
      <c r="AE5" s="59" t="s">
        <v>22</v>
      </c>
      <c r="AF5" s="38"/>
    </row>
    <row r="6" spans="1:32" s="29" customFormat="1" ht="3.75" customHeight="1" thickBot="1">
      <c r="A6" s="60"/>
      <c r="B6" s="61"/>
      <c r="C6" s="37"/>
      <c r="D6" s="61"/>
      <c r="E6" s="62"/>
      <c r="F6" s="62"/>
      <c r="G6" s="63"/>
      <c r="H6" s="62"/>
      <c r="I6" s="61"/>
      <c r="J6" s="61"/>
      <c r="K6" s="61"/>
      <c r="L6" s="61"/>
      <c r="M6" s="64"/>
      <c r="N6" s="61"/>
      <c r="O6" s="64"/>
      <c r="P6" s="61"/>
      <c r="Q6" s="65"/>
      <c r="U6" s="30"/>
      <c r="V6" s="66"/>
      <c r="W6" s="67"/>
      <c r="X6" s="68"/>
      <c r="Y6" s="69"/>
      <c r="Z6" s="70"/>
      <c r="AA6" s="70"/>
      <c r="AB6" s="70"/>
      <c r="AC6" s="70"/>
      <c r="AD6" s="70"/>
      <c r="AE6" s="71"/>
      <c r="AF6" s="38"/>
    </row>
    <row r="7" spans="1:32" s="83" customFormat="1" ht="10.5" customHeight="1">
      <c r="A7" s="72">
        <v>1</v>
      </c>
      <c r="B7" s="73" t="str">
        <f>UPPER(IF($D7="","",VLOOKUP($D7,'[1]ž kvalifikacije žrebna lista'!$A$7:$R$38,17)))</f>
        <v>D</v>
      </c>
      <c r="C7" s="73">
        <f>IF($D7="","",VLOOKUP($D7,'[1]ž kvalifikacije žrebna lista'!$A$7:$R$38,2))</f>
        <v>6520</v>
      </c>
      <c r="D7" s="74">
        <v>1</v>
      </c>
      <c r="E7" s="73" t="str">
        <f>UPPER(IF($D7="","",VLOOKUP($D7,'[1]ž kvalifikacije žrebna lista'!$A$7:$R$38,3)))</f>
        <v>KLANEČEK</v>
      </c>
      <c r="F7" s="73" t="str">
        <f>PROPER(IF($D7="","",VLOOKUP($D7,'[1]ž kvalifikacije žrebna lista'!$A$7:$R$38,4)))</f>
        <v>Saša</v>
      </c>
      <c r="G7" s="73"/>
      <c r="H7" s="73" t="str">
        <f>UPPER(IF($D7="","",VLOOKUP($D7,'[1]ž kvalifikacije žrebna lista'!$A$7:$R$38,5)))</f>
        <v>ŽTKMB</v>
      </c>
      <c r="I7" s="206">
        <f>IF($D7="","",VLOOKUP($D7,'[1]ž kvalifikacije žrebna lista'!$A$7:$R$38,14))</f>
        <v>20</v>
      </c>
      <c r="J7" s="76"/>
      <c r="K7" s="77"/>
      <c r="L7" s="76"/>
      <c r="M7" s="76"/>
      <c r="N7" s="78"/>
      <c r="O7" s="79"/>
      <c r="P7" s="80"/>
      <c r="Q7" s="81"/>
      <c r="R7" s="82"/>
      <c r="T7" s="84" t="str">
        <f>'[1]glavni sodniki'!P21</f>
        <v>Sodnik</v>
      </c>
      <c r="U7" s="30">
        <f>IF($D7="","",VLOOKUP($D7,'[1]ž kvalifikacije žrebna lista'!$A$7:$R$38,2))</f>
        <v>6520</v>
      </c>
      <c r="V7" s="56">
        <v>1</v>
      </c>
      <c r="W7" s="56" t="str">
        <f>UPPER(IF($D7="","",VLOOKUP($D7,'[1]ž kvalifikacije žrebna lista'!$A$7:$R$38,3)))</f>
        <v>KLANEČEK</v>
      </c>
      <c r="X7" s="56" t="str">
        <f>PROPER(IF($D7="","",VLOOKUP($D7,'[1]ž kvalifikacije žrebna lista'!$A$7:$R$38,4)))</f>
        <v>Saša</v>
      </c>
      <c r="Y7" s="85">
        <f aca="true" t="shared" si="0" ref="Y7:Y38">IF(W7="","",IF($Q$62=1,9,IF($Q$62=2,6,IF($Q$62=3,3))))</f>
        <v>6</v>
      </c>
      <c r="Z7" s="86">
        <f>IF($W7="","",IF(AND($Q$62=1,$U$8=$U$7),3,IF(AND($Q$62=2,$U$8=$U$7),2,IF(AND($Q$62=3,$U$8=$U$7),1,""))))</f>
        <v>2</v>
      </c>
      <c r="AA7" s="87">
        <f>IF($W7="","",IF(AND($Q$62=1,$U$10=$U$8,$U$8=$U$7),3,IF(AND($Q$62=2,$U$10=$U$8,$U$8=$U$7),2,IF(AND($Q$62=3,$U$10=$U$8,$U$8=$U$7),1,""))))</f>
        <v>2</v>
      </c>
      <c r="AB7" s="58"/>
      <c r="AC7" s="58"/>
      <c r="AD7" s="58"/>
      <c r="AE7" s="88">
        <f aca="true" t="shared" si="1" ref="AE7:AE38">IF($C$2="B turnir",SUM(Y7:AD7)*0.1,SUM(Y7:AD7))</f>
        <v>10</v>
      </c>
      <c r="AF7" s="38"/>
    </row>
    <row r="8" spans="1:32" s="83" customFormat="1" ht="9" customHeight="1">
      <c r="A8" s="89"/>
      <c r="B8" s="90"/>
      <c r="C8" s="90"/>
      <c r="D8" s="90"/>
      <c r="E8" s="91"/>
      <c r="F8" s="91"/>
      <c r="G8" s="92"/>
      <c r="H8" s="93" t="s">
        <v>23</v>
      </c>
      <c r="I8" s="94" t="s">
        <v>24</v>
      </c>
      <c r="J8" s="95" t="str">
        <f>UPPER(IF(OR(I8="a",I8="as"),E7,IF(OR(I8="b",I8="bs"),E9,)))</f>
        <v>KLANEČEK</v>
      </c>
      <c r="K8" s="104">
        <f>IF(OR(I8="a",I8="as"),I7,IF(OR(I8="b",I8="bs"),I9,))</f>
        <v>20</v>
      </c>
      <c r="L8" s="76"/>
      <c r="M8" s="76"/>
      <c r="N8" s="78"/>
      <c r="O8" s="79"/>
      <c r="P8" s="80"/>
      <c r="Q8" s="81"/>
      <c r="R8" s="82"/>
      <c r="T8" s="97" t="str">
        <f>'[1]glavni sodniki'!P22</f>
        <v> </v>
      </c>
      <c r="U8" s="30">
        <f>IF(OR(I8="a",I8="as"),C7,IF(OR(I8="b",I8="bs"),C9,""))</f>
        <v>6520</v>
      </c>
      <c r="V8" s="98">
        <v>2</v>
      </c>
      <c r="W8" s="99">
        <f>UPPER(IF($D9="","",VLOOKUP($D9,'[1]ž kvalifikacije žrebna lista'!$A$7:$R$38,3)))</f>
      </c>
      <c r="X8" s="99">
        <f>PROPER(IF($D9="","",VLOOKUP($D9,'[1]ž kvalifikacije žrebna lista'!$A$7:$R$38,4)))</f>
      </c>
      <c r="Y8" s="100">
        <f t="shared" si="0"/>
      </c>
      <c r="Z8" s="101">
        <f>IF(W8="","",IF(AND($Q$62=1,$U8=$U$9),3,IF(AND($Q$62=2,$U$8=$U$9),2,IF(AND($Q$62=3,$U$8=$U$9),1,""))))</f>
      </c>
      <c r="AA8" s="101">
        <f>IF($W8="","",IF(AND($Q$62=1,$U$10=$U$8,$U$8=$U$9),3,IF(AND($Q$62=2,$U$10=$U$8,$U$8=$U$9),2,IF(AND($Q$62=3,$U$10=$U$8,$U$8=$U$9),1,""))))</f>
      </c>
      <c r="AB8" s="100"/>
      <c r="AC8" s="100"/>
      <c r="AD8" s="100"/>
      <c r="AE8" s="102">
        <f t="shared" si="1"/>
        <v>0</v>
      </c>
      <c r="AF8" s="38"/>
    </row>
    <row r="9" spans="1:32" s="83" customFormat="1" ht="9" customHeight="1">
      <c r="A9" s="89">
        <v>2</v>
      </c>
      <c r="B9" s="103">
        <f>UPPER(IF($D9="","",VLOOKUP($D9,'[1]ž kvalifikacije žrebna lista'!$A$7:$R$38,17)))</f>
      </c>
      <c r="C9" s="103">
        <f>IF($D9="","",VLOOKUP($D9,'[1]ž kvalifikacije žrebna lista'!$A$7:$R$38,2))</f>
      </c>
      <c r="D9" s="74"/>
      <c r="E9" s="104" t="s">
        <v>25</v>
      </c>
      <c r="F9" s="104">
        <f>PROPER(IF($D9="","",VLOOKUP($D9,'[1]ž kvalifikacije žrebna lista'!$A$7:$R$38,4)))</f>
      </c>
      <c r="G9" s="104"/>
      <c r="H9" s="104">
        <f>UPPER(IF($D9="","",VLOOKUP($D9,'[1]ž kvalifikacije žrebna lista'!$A$7:$R$38,5)))</f>
      </c>
      <c r="I9" s="207">
        <f>IF($D9="","",VLOOKUP($D9,'[1]ž kvalifikacije žrebna lista'!$A$7:$R$38,14))</f>
      </c>
      <c r="J9" s="106"/>
      <c r="K9" s="208"/>
      <c r="L9" s="76"/>
      <c r="M9" s="76"/>
      <c r="N9" s="78"/>
      <c r="O9" s="79"/>
      <c r="P9" s="80"/>
      <c r="Q9" s="81"/>
      <c r="R9" s="82"/>
      <c r="T9" s="97" t="str">
        <f>'[1]glavni sodniki'!P23</f>
        <v> </v>
      </c>
      <c r="U9" s="30">
        <f>IF($D9="","",VLOOKUP($D9,'[1]ž kvalifikacije žrebna lista'!$A$7:$R$38,2))</f>
      </c>
      <c r="V9" s="56">
        <v>3</v>
      </c>
      <c r="W9" s="56">
        <f>UPPER(IF($D11="","",VLOOKUP($D11,'[1]ž kvalifikacije žrebna lista'!$A$7:$R$38,3)))</f>
      </c>
      <c r="X9" s="56">
        <f>PROPER(IF($D11="","",VLOOKUP($D11,'[1]ž kvalifikacije žrebna lista'!$A$7:$R$38,4)))</f>
      </c>
      <c r="Y9" s="58">
        <f t="shared" si="0"/>
      </c>
      <c r="Z9" s="108">
        <f>IF(W9="","",IF(AND($Q$62=1,$U$12=$U$11),3,IF(AND($Q$62=2,$U$12=$U$11),2,IF(AND($Q$62=3,$U$12=$U$11),1,""))))</f>
      </c>
      <c r="AA9" s="87">
        <f>IF($W9="","",IF(AND($Q$62=1,$U$10=$U$12,$U$12=$U$11),3,IF(AND($Q$62=2,$U$10=$U$12,$U$12=$U$11),2,IF(AND($Q$62=3,$U$10=$U$12,$U$12=$U$11),1,""))))</f>
      </c>
      <c r="AB9" s="58"/>
      <c r="AC9" s="58"/>
      <c r="AD9" s="58"/>
      <c r="AE9" s="88">
        <f t="shared" si="1"/>
        <v>0</v>
      </c>
      <c r="AF9" s="38"/>
    </row>
    <row r="10" spans="1:32" s="83" customFormat="1" ht="9" customHeight="1">
      <c r="A10" s="89"/>
      <c r="B10" s="90"/>
      <c r="C10" s="90"/>
      <c r="D10" s="109"/>
      <c r="E10" s="91"/>
      <c r="F10" s="91"/>
      <c r="G10" s="92"/>
      <c r="H10" s="91"/>
      <c r="I10" s="90"/>
      <c r="J10" s="93" t="s">
        <v>23</v>
      </c>
      <c r="K10" s="111" t="s">
        <v>24</v>
      </c>
      <c r="L10" s="95" t="str">
        <f>UPPER(IF(OR(K10="a",K10="as"),J8,IF(OR(K10="b",K10="bs"),J12,)))</f>
        <v>KLANEČEK</v>
      </c>
      <c r="M10" s="112"/>
      <c r="N10" s="113"/>
      <c r="O10" s="113"/>
      <c r="P10" s="80"/>
      <c r="Q10" s="81"/>
      <c r="R10" s="82"/>
      <c r="T10" s="97" t="str">
        <f>'[1]glavni sodniki'!P24</f>
        <v> </v>
      </c>
      <c r="U10" s="30">
        <f>IF(OR(K10="a",K10="as"),$U$8,IF(OR(K10="b",K10="bs"),U12,""))</f>
        <v>6520</v>
      </c>
      <c r="V10" s="98">
        <v>4</v>
      </c>
      <c r="W10" s="98">
        <f>UPPER(IF($D13="","",VLOOKUP($D13,'[1]ž kvalifikacije žrebna lista'!$A$7:$R$38,3)))</f>
      </c>
      <c r="X10" s="98">
        <f>PROPER(IF($D13="","",VLOOKUP($D13,'[1]ž kvalifikacije žrebna lista'!$A$7:$R$38,4)))</f>
      </c>
      <c r="Y10" s="100">
        <f t="shared" si="0"/>
      </c>
      <c r="Z10" s="101">
        <f>IF(W10="","",IF(AND($Q$62=1,$U$12=$U$13),3,IF(AND($Q$62=2,$U$12=$U$13),2,IF(AND($Q$62=3,$U$12=$U$13),1,""))))</f>
      </c>
      <c r="AA10" s="101">
        <f>IF($W10="","",IF(AND($Q$62=1,$U$10=$U$12,$U$12=$U$13),3,IF(AND($Q$62=2,$U$10=$U$12,$U$12=$U$13),2,IF(AND($Q$62=3,$U$10=$U$12,$U$12=$U$13),1,""))))</f>
      </c>
      <c r="AB10" s="100"/>
      <c r="AC10" s="100"/>
      <c r="AD10" s="100"/>
      <c r="AE10" s="102">
        <f t="shared" si="1"/>
        <v>0</v>
      </c>
      <c r="AF10" s="38"/>
    </row>
    <row r="11" spans="1:32" s="83" customFormat="1" ht="9" customHeight="1">
      <c r="A11" s="89">
        <v>3</v>
      </c>
      <c r="B11" s="103">
        <f>UPPER(IF($D11="","",VLOOKUP($D11,'[1]ž kvalifikacije žrebna lista'!$A$7:$R$38,17)))</f>
      </c>
      <c r="C11" s="103">
        <f>IF($D11="","",VLOOKUP($D11,'[1]ž kvalifikacije žrebna lista'!$A$7:$R$38,2))</f>
      </c>
      <c r="D11" s="74"/>
      <c r="E11" s="104" t="s">
        <v>25</v>
      </c>
      <c r="F11" s="104">
        <f>PROPER(IF($D11="","",VLOOKUP($D11,'[1]ž kvalifikacije žrebna lista'!$A$7:$R$38,4)))</f>
      </c>
      <c r="G11" s="104"/>
      <c r="H11" s="104">
        <f>UPPER(IF($D11="","",VLOOKUP($D11,'[1]ž kvalifikacije žrebna lista'!$A$7:$R$38,5)))</f>
      </c>
      <c r="I11" s="206">
        <f>IF($D11="","",VLOOKUP($D11,'[1]ž kvalifikacije žrebna lista'!$A$7:$R$38,14))</f>
      </c>
      <c r="J11" s="76"/>
      <c r="K11" s="209"/>
      <c r="L11" s="106"/>
      <c r="M11" s="115"/>
      <c r="N11" s="115"/>
      <c r="O11" s="115"/>
      <c r="P11" s="80"/>
      <c r="Q11" s="81"/>
      <c r="R11" s="82"/>
      <c r="T11" s="97" t="str">
        <f>'[1]glavni sodniki'!P25</f>
        <v> </v>
      </c>
      <c r="U11" s="30">
        <f>IF($D11="","",VLOOKUP($D11,'[1]ž kvalifikacije žrebna lista'!$A$7:$R$38,2))</f>
      </c>
      <c r="V11" s="56">
        <v>5</v>
      </c>
      <c r="W11" s="56" t="str">
        <f>UPPER(IF($D15="","",VLOOKUP($D15,'[1]ž kvalifikacije žrebna lista'!$A$7:$R$38,3)))</f>
        <v>FIŠER</v>
      </c>
      <c r="X11" s="56" t="str">
        <f>PROPER(IF($D15="","",VLOOKUP($D15,'[1]ž kvalifikacije žrebna lista'!$A$7:$R$38,4)))</f>
        <v>Eva</v>
      </c>
      <c r="Y11" s="58">
        <f t="shared" si="0"/>
        <v>6</v>
      </c>
      <c r="Z11" s="87">
        <f>IF(W11="","",IF(AND($Q$62=1,$U$16=$U$15),3,IF(AND($Q$62=2,$U$16=$U$15),2,IF(AND($Q$62=3,$U$16=$U$15),1,""))))</f>
        <v>2</v>
      </c>
      <c r="AA11" s="87">
        <f>IF($W11="","",IF(AND($Q$62=1,$U$18=$U$16,$U$16=$U$15),3,IF(AND($Q$62=2,$U$18=$U$16,$U$16=$U$15),2,IF(AND($Q$62=3,$U$18=$U$16,$U$16=$U$15),1,""))))</f>
        <v>2</v>
      </c>
      <c r="AB11" s="58"/>
      <c r="AC11" s="58"/>
      <c r="AD11" s="58"/>
      <c r="AE11" s="88">
        <f t="shared" si="1"/>
        <v>10</v>
      </c>
      <c r="AF11" s="38"/>
    </row>
    <row r="12" spans="1:32" s="83" customFormat="1" ht="9" customHeight="1">
      <c r="A12" s="89"/>
      <c r="B12" s="90"/>
      <c r="C12" s="90"/>
      <c r="D12" s="109"/>
      <c r="E12" s="91"/>
      <c r="F12" s="91"/>
      <c r="G12" s="92"/>
      <c r="H12" s="93" t="s">
        <v>23</v>
      </c>
      <c r="I12" s="94"/>
      <c r="J12" s="95">
        <f>UPPER(IF(OR(I12="a",I12="as"),E11,IF(OR(I12="b",I12="bs"),E13,)))</f>
      </c>
      <c r="K12" s="210">
        <f>IF(OR(I12="a",I12="as"),I11,IF(OR(I12="b",I12="bs"),I13,))</f>
        <v>0</v>
      </c>
      <c r="L12" s="76"/>
      <c r="M12" s="115"/>
      <c r="N12" s="115"/>
      <c r="O12" s="115"/>
      <c r="P12" s="80"/>
      <c r="Q12" s="81"/>
      <c r="R12" s="82"/>
      <c r="T12" s="97" t="str">
        <f>'[1]glavni sodniki'!P26</f>
        <v> </v>
      </c>
      <c r="U12" s="30">
        <f>IF(OR(I12="a",I12="as"),C11,IF(OR(I12="b",I12="bs"),C13,""))</f>
      </c>
      <c r="V12" s="98">
        <v>6</v>
      </c>
      <c r="W12" s="98">
        <f>UPPER(IF($D17="","",VLOOKUP($D17,'[1]ž kvalifikacije žrebna lista'!$A$7:$R$38,3)))</f>
      </c>
      <c r="X12" s="98">
        <f>PROPER(IF($D17="","",VLOOKUP($D17,'[1]ž kvalifikacije žrebna lista'!$A$7:$R$38,4)))</f>
      </c>
      <c r="Y12" s="100">
        <f t="shared" si="0"/>
      </c>
      <c r="Z12" s="101">
        <f>IF(W12="","",IF(AND($Q$62=1,$U$16=$U$17),3,IF(AND($Q$62=2,$U$16=$U$17),2,IF(AND($Q$62=3,$U$16=$U$17),1,""))))</f>
      </c>
      <c r="AA12" s="101">
        <f>IF($W12="","",IF(AND($Q$62=1,$U$18=$U$16,$U$16=$U$17),3,IF(AND($Q$62=2,$U$18=$U$16,$U$16=$U$17),2,IF(AND($Q$62=3,$U$18=$U$16,$U$16=$U$17),1,""))))</f>
      </c>
      <c r="AB12" s="100"/>
      <c r="AC12" s="100"/>
      <c r="AD12" s="100"/>
      <c r="AE12" s="102">
        <f t="shared" si="1"/>
        <v>0</v>
      </c>
      <c r="AF12" s="38"/>
    </row>
    <row r="13" spans="1:32" s="83" customFormat="1" ht="9" customHeight="1">
      <c r="A13" s="89">
        <v>4</v>
      </c>
      <c r="B13" s="103">
        <f>UPPER(IF($D13="","",VLOOKUP($D13,'[1]ž kvalifikacije žrebna lista'!$A$7:$R$38,17)))</f>
      </c>
      <c r="C13" s="103">
        <f>IF($D13="","",VLOOKUP($D13,'[1]ž kvalifikacije žrebna lista'!$A$7:$R$38,2))</f>
      </c>
      <c r="D13" s="74"/>
      <c r="E13" s="104" t="s">
        <v>25</v>
      </c>
      <c r="F13" s="104">
        <f>PROPER(IF($D13="","",VLOOKUP($D13,'[1]ž kvalifikacije žrebna lista'!$A$7:$R$38,4)))</f>
      </c>
      <c r="G13" s="104"/>
      <c r="H13" s="104">
        <f>UPPER(IF($D13="","",VLOOKUP($D13,'[1]ž kvalifikacije žrebna lista'!$A$7:$R$38,5)))</f>
      </c>
      <c r="I13" s="211">
        <f>IF($D13="","",VLOOKUP($D13,'[1]ž kvalifikacije žrebna lista'!$A$7:$R$38,14))</f>
      </c>
      <c r="J13" s="106"/>
      <c r="K13" s="77"/>
      <c r="L13" s="76"/>
      <c r="M13" s="115"/>
      <c r="N13" s="115"/>
      <c r="O13" s="115"/>
      <c r="P13" s="80"/>
      <c r="Q13" s="81"/>
      <c r="R13" s="82"/>
      <c r="T13" s="97" t="str">
        <f>'[1]glavni sodniki'!P27</f>
        <v> </v>
      </c>
      <c r="U13" s="30">
        <f>IF($D13="","",VLOOKUP($D13,'[1]ž kvalifikacije žrebna lista'!$A$7:$R$38,2))</f>
      </c>
      <c r="V13" s="56">
        <v>7</v>
      </c>
      <c r="W13" s="56">
        <f>UPPER(IF($D19="","",VLOOKUP($D19,'[1]ž kvalifikacije žrebna lista'!$A$7:$R$38,3)))</f>
      </c>
      <c r="X13" s="56">
        <f>PROPER(IF($D19="","",VLOOKUP($D19,'[1]ž kvalifikacije žrebna lista'!$A$7:$R$38,4)))</f>
      </c>
      <c r="Y13" s="58">
        <f t="shared" si="0"/>
      </c>
      <c r="Z13" s="87">
        <f>IF(W13="","",IF(AND($Q$62=1,$U$20=$U$19),3,IF(AND($Q$62=2,$U$20=$U$19),2,IF(AND($Q$62=3,$U$20=$U$19),1,""))))</f>
      </c>
      <c r="AA13" s="87">
        <f>IF($W13="","",IF(AND($Q$62=1,$U$18=$U$20,$U$20=$U$19),3,IF(AND($Q$62=2,$U$18=$U$20,$U$20=$U$19),2,IF(AND($Q$62=3,$U$18=$U$20,$U$20=$U$19),1,""))))</f>
      </c>
      <c r="AB13" s="58"/>
      <c r="AC13" s="58"/>
      <c r="AD13" s="58"/>
      <c r="AE13" s="88">
        <f t="shared" si="1"/>
        <v>0</v>
      </c>
      <c r="AF13" s="38"/>
    </row>
    <row r="14" spans="1:32" s="83" customFormat="1" ht="9" customHeight="1">
      <c r="A14" s="89"/>
      <c r="B14" s="90"/>
      <c r="C14" s="90"/>
      <c r="D14" s="109"/>
      <c r="E14" s="76"/>
      <c r="F14" s="76"/>
      <c r="G14" s="120"/>
      <c r="H14" s="121"/>
      <c r="I14" s="90"/>
      <c r="J14" s="76"/>
      <c r="K14" s="77"/>
      <c r="L14" s="76"/>
      <c r="M14" s="122"/>
      <c r="N14" s="123">
        <f>UPPER(IF(OR(M14="a",M14="as"),L10,IF(OR(M14="b",M14="bs"),L18,)))</f>
      </c>
      <c r="O14" s="115"/>
      <c r="P14" s="80"/>
      <c r="Q14" s="81"/>
      <c r="R14" s="82"/>
      <c r="T14" s="97" t="str">
        <f>'[1]glavni sodniki'!P28</f>
        <v> </v>
      </c>
      <c r="U14" s="30"/>
      <c r="V14" s="98">
        <v>8</v>
      </c>
      <c r="W14" s="98">
        <f>UPPER(IF($D21="","",VLOOKUP($D21,'[1]ž kvalifikacije žrebna lista'!$A$7:$R$38,3)))</f>
      </c>
      <c r="X14" s="98">
        <f>PROPER(IF($D21="","",VLOOKUP($D21,'[1]ž kvalifikacije žrebna lista'!$A$7:$R$38,4)))</f>
      </c>
      <c r="Y14" s="100">
        <f t="shared" si="0"/>
      </c>
      <c r="Z14" s="101">
        <f>IF(W14="","",IF(AND($Q$62=1,$U$20=$U$21),3,IF(AND($Q$62=2,$U$20=$U$21),2,IF(AND($Q$62=3,$U$20=$U$21),1,""))))</f>
      </c>
      <c r="AA14" s="101">
        <f>IF($W14="","",IF(AND($Q$62=1,$U$18=$U$20,$U$20=$U$21),3,IF(AND($Q$62=2,$U$18=$U$20,$U$20=$U$21),2,IF(AND($Q$62=3,$U$18=$U$20,$U$20=$U$21),1,""))))</f>
      </c>
      <c r="AB14" s="100"/>
      <c r="AC14" s="100"/>
      <c r="AD14" s="100"/>
      <c r="AE14" s="102">
        <f t="shared" si="1"/>
        <v>0</v>
      </c>
      <c r="AF14" s="38"/>
    </row>
    <row r="15" spans="1:32" s="83" customFormat="1" ht="9" customHeight="1">
      <c r="A15" s="72">
        <v>5</v>
      </c>
      <c r="B15" s="73" t="str">
        <f>UPPER(IF($D15="","",VLOOKUP($D15,'[1]ž kvalifikacije žrebna lista'!$A$7:$R$38,17)))</f>
        <v>D</v>
      </c>
      <c r="C15" s="73">
        <f>IF($D15="","",VLOOKUP($D15,'[1]ž kvalifikacije žrebna lista'!$A$7:$R$38,2))</f>
        <v>5920</v>
      </c>
      <c r="D15" s="74">
        <v>2</v>
      </c>
      <c r="E15" s="73" t="str">
        <f>UPPER(IF($D15="","",VLOOKUP($D15,'[1]ž kvalifikacije žrebna lista'!$A$7:$R$38,3)))</f>
        <v>FIŠER</v>
      </c>
      <c r="F15" s="73" t="str">
        <f>PROPER(IF($D15="","",VLOOKUP($D15,'[1]ž kvalifikacije žrebna lista'!$A$7:$R$38,4)))</f>
        <v>Eva</v>
      </c>
      <c r="G15" s="104"/>
      <c r="H15" s="73" t="str">
        <f>UPPER(IF($D15="","",VLOOKUP($D15,'[1]ž kvalifikacije žrebna lista'!$A$7:$R$38,5)))</f>
        <v>KOPER</v>
      </c>
      <c r="I15" s="212">
        <f>IF($D15="","",VLOOKUP($D15,'[1]ž kvalifikacije žrebna lista'!$A$7:$R$38,14))</f>
        <v>10</v>
      </c>
      <c r="J15" s="76"/>
      <c r="K15" s="77"/>
      <c r="L15" s="76"/>
      <c r="M15" s="115"/>
      <c r="N15" s="123"/>
      <c r="O15" s="115"/>
      <c r="P15" s="80"/>
      <c r="Q15" s="81"/>
      <c r="R15" s="82"/>
      <c r="T15" s="97" t="str">
        <f>'[1]glavni sodniki'!P29</f>
        <v> </v>
      </c>
      <c r="U15" s="30">
        <f>IF($D15="","",VLOOKUP($D15,'[1]ž kvalifikacije žrebna lista'!$A$7:$R$38,2))</f>
        <v>5920</v>
      </c>
      <c r="V15" s="56">
        <v>9</v>
      </c>
      <c r="W15" s="56" t="str">
        <f>UPPER(IF($D23="","",VLOOKUP($D23,'[1]ž kvalifikacije žrebna lista'!$A$7:$R$38,3)))</f>
        <v>ZUKIČ</v>
      </c>
      <c r="X15" s="56" t="str">
        <f>PROPER(IF($D23="","",VLOOKUP($D23,'[1]ž kvalifikacije žrebna lista'!$A$7:$R$38,4)))</f>
        <v>Sandra</v>
      </c>
      <c r="Y15" s="58">
        <f t="shared" si="0"/>
        <v>6</v>
      </c>
      <c r="Z15" s="87">
        <f>IF(W15="","",IF(AND($Q$62=1,$U$24=$U$23),3,IF(AND($Q$62=2,$U$24=$U$23),2,IF(AND($Q$62=3,$U$24=$U$23),1,""))))</f>
        <v>2</v>
      </c>
      <c r="AA15" s="87">
        <f>IF($W15="","",IF(AND($Q$62=1,$U$26=$U$24,$U$24=$U$23),3,IF(AND($Q$62=2,$U$26=$U$24,$U$24=$U$23),2,IF(AND($Q$62=3,$U$26=$U$24,$U$24=$U$23),1,""))))</f>
      </c>
      <c r="AB15" s="58"/>
      <c r="AC15" s="58"/>
      <c r="AD15" s="58"/>
      <c r="AE15" s="88">
        <f t="shared" si="1"/>
        <v>8</v>
      </c>
      <c r="AF15" s="38"/>
    </row>
    <row r="16" spans="1:32" s="83" customFormat="1" ht="9" customHeight="1" thickBot="1">
      <c r="A16" s="89"/>
      <c r="B16" s="90"/>
      <c r="C16" s="90"/>
      <c r="D16" s="109"/>
      <c r="E16" s="91"/>
      <c r="F16" s="91"/>
      <c r="G16" s="92"/>
      <c r="H16" s="93" t="s">
        <v>23</v>
      </c>
      <c r="I16" s="94" t="s">
        <v>24</v>
      </c>
      <c r="J16" s="95" t="str">
        <f>UPPER(IF(OR(I16="a",I16="as"),E15,IF(OR(I16="b",I16="bs"),E17,)))</f>
        <v>FIŠER</v>
      </c>
      <c r="K16" s="104">
        <f>IF(OR(I16="a",I16="as"),I15,IF(OR(I16="b",I16="bs"),I17,))</f>
        <v>10</v>
      </c>
      <c r="L16" s="76"/>
      <c r="M16" s="115"/>
      <c r="N16" s="115"/>
      <c r="O16" s="115"/>
      <c r="P16" s="80"/>
      <c r="Q16" s="81"/>
      <c r="R16" s="82"/>
      <c r="T16" s="125" t="str">
        <f>'[1]glavni sodniki'!P30</f>
        <v>Brez sodnika</v>
      </c>
      <c r="U16" s="30">
        <f>IF(OR(I16="a",I16="as"),C15,IF(OR(I16="b",I16="bs"),C17,""))</f>
        <v>5920</v>
      </c>
      <c r="V16" s="98">
        <v>10</v>
      </c>
      <c r="W16" s="98">
        <f>UPPER(IF($D25="","",VLOOKUP($D25,'[1]ž kvalifikacije žrebna lista'!$A$7:$R$38,3)))</f>
      </c>
      <c r="X16" s="98">
        <f>PROPER(IF($D25="","",VLOOKUP($D25,'[1]ž kvalifikacije žrebna lista'!$A$7:$R$38,4)))</f>
      </c>
      <c r="Y16" s="100">
        <f t="shared" si="0"/>
      </c>
      <c r="Z16" s="101">
        <f>IF(W16="","",IF(AND($Q$62=1,$U$24=$U$25),3,IF(AND($Q$62=2,$U$24=$U$25),2,IF(AND($Q$62=3,$U$24=$U$25),1,""))))</f>
      </c>
      <c r="AA16" s="101">
        <f>IF($W16="","",IF(AND($Q$62=1,$U$26=$U$24,$U$24=$U$25),3,IF(AND($Q$62=2,$U$26=$U$24,$U$24=$U$25),2,IF(AND($Q$62=3,$U$26=$U$24,$U$24=$U$25),1,""))))</f>
      </c>
      <c r="AB16" s="100"/>
      <c r="AC16" s="100"/>
      <c r="AD16" s="100"/>
      <c r="AE16" s="102">
        <f t="shared" si="1"/>
        <v>0</v>
      </c>
      <c r="AF16" s="38"/>
    </row>
    <row r="17" spans="1:32" s="83" customFormat="1" ht="9" customHeight="1">
      <c r="A17" s="89">
        <v>6</v>
      </c>
      <c r="B17" s="103">
        <f>UPPER(IF($D17="","",VLOOKUP($D17,'[1]ž kvalifikacije žrebna lista'!$A$7:$R$38,17)))</f>
      </c>
      <c r="C17" s="103">
        <f>IF($D17="","",VLOOKUP($D17,'[1]ž kvalifikacije žrebna lista'!$A$7:$R$38,2))</f>
      </c>
      <c r="D17" s="74"/>
      <c r="E17" s="104" t="s">
        <v>25</v>
      </c>
      <c r="F17" s="104">
        <f>PROPER(IF($D17="","",VLOOKUP($D17,'[1]ž kvalifikacije žrebna lista'!$A$7:$R$38,4)))</f>
      </c>
      <c r="G17" s="104"/>
      <c r="H17" s="104">
        <f>UPPER(IF($D17="","",VLOOKUP($D17,'[1]ž kvalifikacije žrebna lista'!$A$7:$R$38,5)))</f>
      </c>
      <c r="I17" s="207">
        <f>IF($D17="","",VLOOKUP($D17,'[1]ž kvalifikacije žrebna lista'!$A$7:$R$38,14))</f>
      </c>
      <c r="J17" s="106"/>
      <c r="K17" s="208"/>
      <c r="L17" s="76"/>
      <c r="M17" s="115"/>
      <c r="N17" s="115"/>
      <c r="O17" s="115"/>
      <c r="P17" s="80"/>
      <c r="Q17" s="81"/>
      <c r="R17" s="82"/>
      <c r="U17" s="30">
        <f>IF($D17="","",VLOOKUP($D17,'[1]ž kvalifikacije žrebna lista'!$A$7:$R$38,2))</f>
      </c>
      <c r="V17" s="56">
        <v>11</v>
      </c>
      <c r="W17" s="56">
        <f>UPPER(IF($D27="","",VLOOKUP($D27,'[1]ž kvalifikacije žrebna lista'!$A$7:$R$38,3)))</f>
      </c>
      <c r="X17" s="56">
        <f>PROPER(IF($D27="","",VLOOKUP($D27,'[1]ž kvalifikacije žrebna lista'!$A$7:$R$38,4)))</f>
      </c>
      <c r="Y17" s="58">
        <f t="shared" si="0"/>
      </c>
      <c r="Z17" s="87">
        <f>IF(W17="","",IF(AND($Q$62=1,$U$28=$U$27),3,IF(AND($Q$62=2,$U$28=$U$27),2,IF(AND($Q$62=3,$U$28=$U$27),1,""))))</f>
      </c>
      <c r="AA17" s="87">
        <f>IF($W17="","",IF(AND($Q$62=1,$U$26=$U$28,$U$28=$U$27),3,IF(AND($Q$62=2,$U$26=$U$28,$U$28=$U$27),2,IF(AND($Q$62=3,$U$26=$U$28,$U$28=$U$27),1,""))))</f>
      </c>
      <c r="AB17" s="58"/>
      <c r="AC17" s="58"/>
      <c r="AD17" s="58"/>
      <c r="AE17" s="88">
        <f t="shared" si="1"/>
        <v>0</v>
      </c>
      <c r="AF17" s="38"/>
    </row>
    <row r="18" spans="1:32" s="83" customFormat="1" ht="9" customHeight="1">
      <c r="A18" s="89"/>
      <c r="B18" s="90"/>
      <c r="C18" s="90"/>
      <c r="D18" s="109"/>
      <c r="E18" s="91"/>
      <c r="F18" s="91"/>
      <c r="G18" s="92"/>
      <c r="H18" s="76"/>
      <c r="I18" s="90"/>
      <c r="J18" s="93" t="s">
        <v>23</v>
      </c>
      <c r="K18" s="111" t="s">
        <v>24</v>
      </c>
      <c r="L18" s="95" t="str">
        <f>UPPER(IF(OR(K18="a",K18="as"),J16,IF(OR(K18="b",K18="bs"),J20,)))</f>
        <v>FIŠER</v>
      </c>
      <c r="M18" s="112"/>
      <c r="N18" s="115"/>
      <c r="O18" s="115"/>
      <c r="P18" s="80"/>
      <c r="Q18" s="81"/>
      <c r="R18" s="82"/>
      <c r="U18" s="30">
        <f>IF(OR(K18="a",K18="as"),$U$16,IF(OR(K18="b",K18="bs"),U20,""))</f>
        <v>5920</v>
      </c>
      <c r="V18" s="98">
        <v>12</v>
      </c>
      <c r="W18" s="98">
        <f>UPPER(IF($D29="","",VLOOKUP($D29,'[1]ž kvalifikacije žrebna lista'!$A$7:$R$38,3)))</f>
      </c>
      <c r="X18" s="98">
        <f>PROPER(IF($D29="","",VLOOKUP($D29,'[1]ž kvalifikacije žrebna lista'!$A$7:$R$38,4)))</f>
      </c>
      <c r="Y18" s="100">
        <f t="shared" si="0"/>
      </c>
      <c r="Z18" s="101">
        <f>IF(W18="","",IF(AND($Q$62=1,$U$28=$U$29),3,IF(AND($Q$62=2,$U$28=$U$29),2,IF(AND($Q$62=3,$U$28=$U$29),1,""))))</f>
      </c>
      <c r="AA18" s="101">
        <f>IF($W18="","",IF(AND($Q$62=1,$U$26=$U$28,$U$28=$U$29),3,IF(AND($Q$62=2,$U$26=$U$28,$U$28=$U$29),2,IF(AND($Q$62=3,$U$26=$U$28,$U$28=$U$29),1,""))))</f>
      </c>
      <c r="AB18" s="100"/>
      <c r="AC18" s="100"/>
      <c r="AD18" s="100"/>
      <c r="AE18" s="102">
        <f t="shared" si="1"/>
        <v>0</v>
      </c>
      <c r="AF18" s="38"/>
    </row>
    <row r="19" spans="1:32" s="83" customFormat="1" ht="9" customHeight="1">
      <c r="A19" s="89">
        <v>7</v>
      </c>
      <c r="B19" s="103">
        <f>UPPER(IF($D19="","",VLOOKUP($D19,'[1]ž kvalifikacije žrebna lista'!$A$7:$R$38,17)))</f>
      </c>
      <c r="C19" s="103">
        <f>IF($D19="","",VLOOKUP($D19,'[1]ž kvalifikacije žrebna lista'!$A$7:$R$38,2))</f>
      </c>
      <c r="D19" s="74"/>
      <c r="E19" s="104" t="s">
        <v>25</v>
      </c>
      <c r="F19" s="104">
        <f>PROPER(IF($D19="","",VLOOKUP($D19,'[1]ž kvalifikacije žrebna lista'!$A$7:$R$38,4)))</f>
      </c>
      <c r="G19" s="104"/>
      <c r="H19" s="104">
        <f>UPPER(IF($D19="","",VLOOKUP($D19,'[1]ž kvalifikacije žrebna lista'!$A$7:$R$38,5)))</f>
      </c>
      <c r="I19" s="206">
        <f>IF($D19="","",VLOOKUP($D19,'[1]ž kvalifikacije žrebna lista'!$A$7:$R$38,14))</f>
      </c>
      <c r="J19" s="76"/>
      <c r="K19" s="209"/>
      <c r="L19" s="106"/>
      <c r="M19" s="113"/>
      <c r="N19" s="93"/>
      <c r="O19" s="113"/>
      <c r="P19" s="80"/>
      <c r="Q19" s="81"/>
      <c r="R19" s="82"/>
      <c r="U19" s="30">
        <f>IF($D19="","",VLOOKUP($D19,'[1]ž kvalifikacije žrebna lista'!$A$7:$R$38,2))</f>
      </c>
      <c r="V19" s="56">
        <v>13</v>
      </c>
      <c r="W19" s="56" t="str">
        <f>UPPER(IF($D31="","",VLOOKUP($D31,'[1]ž kvalifikacije žrebna lista'!$A$7:$R$38,3)))</f>
        <v>SEFIČ</v>
      </c>
      <c r="X19" s="56" t="str">
        <f>PROPER(IF($D31="","",VLOOKUP($D31,'[1]ž kvalifikacije žrebna lista'!$A$7:$R$38,4)))</f>
        <v>Laura</v>
      </c>
      <c r="Y19" s="58">
        <f t="shared" si="0"/>
        <v>6</v>
      </c>
      <c r="Z19" s="87">
        <f>IF(W19="","",IF(AND($Q$62=1,$U$32=$U$31),3,IF(AND($Q$62=2,$U$32=$U$31),2,IF(AND($Q$62=3,$U$32=$U$31),1,""))))</f>
        <v>2</v>
      </c>
      <c r="AA19" s="87">
        <f>IF($W19="","",IF(AND($Q$62=1,$U$34=$U$32,$U$32=$U$31),3,IF(AND($Q$62=2,$U$34=$U$32,$U$32=$U$31),2,IF(AND($Q$62=3,$U$34=$U$32,$U$32=$U$31),1,""))))</f>
        <v>2</v>
      </c>
      <c r="AB19" s="58"/>
      <c r="AC19" s="58"/>
      <c r="AD19" s="58"/>
      <c r="AE19" s="88">
        <f t="shared" si="1"/>
        <v>10</v>
      </c>
      <c r="AF19" s="38"/>
    </row>
    <row r="20" spans="1:32" s="83" customFormat="1" ht="9" customHeight="1">
      <c r="A20" s="89"/>
      <c r="B20" s="90"/>
      <c r="C20" s="90"/>
      <c r="D20" s="90"/>
      <c r="E20" s="91"/>
      <c r="F20" s="91"/>
      <c r="G20" s="92"/>
      <c r="H20" s="93" t="s">
        <v>23</v>
      </c>
      <c r="I20" s="94"/>
      <c r="J20" s="95">
        <f>UPPER(IF(OR(I20="a",I20="as"),E19,IF(OR(I20="b",I20="bs"),E21,)))</f>
      </c>
      <c r="K20" s="210">
        <f>IF(OR(I20="a",I20="as"),I19,IF(OR(I20="b",I20="bs"),I21,))</f>
        <v>0</v>
      </c>
      <c r="L20" s="76"/>
      <c r="M20" s="113"/>
      <c r="N20" s="113"/>
      <c r="O20" s="113"/>
      <c r="P20" s="80"/>
      <c r="Q20" s="81"/>
      <c r="R20" s="82"/>
      <c r="U20" s="30">
        <f>IF(OR(I20="a",I20="as"),C19,IF(OR(I20="b",I20="bs"),C21,""))</f>
      </c>
      <c r="V20" s="98">
        <v>14</v>
      </c>
      <c r="W20" s="98">
        <f>UPPER(IF($D33="","",VLOOKUP($D33,'[1]ž kvalifikacije žrebna lista'!$A$7:$R$38,3)))</f>
      </c>
      <c r="X20" s="98">
        <f>PROPER(IF($D33="","",VLOOKUP($D33,'[1]ž kvalifikacije žrebna lista'!$A$7:$R$38,4)))</f>
      </c>
      <c r="Y20" s="100">
        <f t="shared" si="0"/>
      </c>
      <c r="Z20" s="101">
        <f>IF(W20="","",IF(AND($Q$62=1,$U$32=$U$33),3,IF(AND($Q$62=2,$U$32=$U$33),2,IF(AND($Q$62=3,$U$32=$U$33),1,""))))</f>
      </c>
      <c r="AA20" s="101">
        <f>IF($W20="","",IF(AND($Q$62=1,$U$34=$U$32,$U$32=$U$33),3,IF(AND($Q$62=2,$U$34=$U$32,$U$32=$U$33),2,IF(AND($Q$62=3,$U$34=$U$32,$U$32=$U$33),1,""))))</f>
      </c>
      <c r="AB20" s="100"/>
      <c r="AC20" s="100"/>
      <c r="AD20" s="100"/>
      <c r="AE20" s="102">
        <f t="shared" si="1"/>
        <v>0</v>
      </c>
      <c r="AF20" s="38"/>
    </row>
    <row r="21" spans="1:32" s="83" customFormat="1" ht="9" customHeight="1">
      <c r="A21" s="89">
        <v>8</v>
      </c>
      <c r="B21" s="103">
        <f>UPPER(IF($D21="","",VLOOKUP($D21,'[1]ž kvalifikacije žrebna lista'!$A$7:$R$38,17)))</f>
      </c>
      <c r="C21" s="103">
        <f>IF($D21="","",VLOOKUP($D21,'[1]ž kvalifikacije žrebna lista'!$A$7:$R$38,2))</f>
      </c>
      <c r="D21" s="74"/>
      <c r="E21" s="104" t="s">
        <v>25</v>
      </c>
      <c r="F21" s="104">
        <f>PROPER(IF($D21="","",VLOOKUP($D21,'[1]ž kvalifikacije žrebna lista'!$A$7:$R$38,4)))</f>
      </c>
      <c r="G21" s="73"/>
      <c r="H21" s="104">
        <f>UPPER(IF($D21="","",VLOOKUP($D21,'[1]ž kvalifikacije žrebna lista'!$A$7:$R$38,5)))</f>
      </c>
      <c r="I21" s="211">
        <f>IF($D21="","",VLOOKUP($D21,'[1]ž kvalifikacije žrebna lista'!$A$7:$R$38,14))</f>
      </c>
      <c r="J21" s="106"/>
      <c r="K21" s="77"/>
      <c r="L21" s="76"/>
      <c r="M21" s="113"/>
      <c r="N21" s="113"/>
      <c r="O21" s="113"/>
      <c r="P21" s="80"/>
      <c r="Q21" s="81"/>
      <c r="R21" s="82"/>
      <c r="U21" s="30">
        <f>IF($D21="","",VLOOKUP($D21,'[1]ž kvalifikacije žrebna lista'!$A$7:$R$38,2))</f>
      </c>
      <c r="V21" s="56">
        <v>15</v>
      </c>
      <c r="W21" s="56">
        <f>UPPER(IF($D35="","",VLOOKUP($D35,'[1]ž kvalifikacije žrebna lista'!$A$7:$R$38,3)))</f>
      </c>
      <c r="X21" s="56">
        <f>PROPER(IF($D35="","",VLOOKUP($D35,'[1]ž kvalifikacije žrebna lista'!$A$7:$R$38,4)))</f>
      </c>
      <c r="Y21" s="58">
        <f t="shared" si="0"/>
      </c>
      <c r="Z21" s="87">
        <f>IF(W21="","",IF(AND($Q$62=1,$U$36=$U$35),3,IF(AND($Q$62=2,$U$36=$U$35),2,IF(AND($Q$62=3,$U$36=$U$35),1,""))))</f>
      </c>
      <c r="AA21" s="87">
        <f>IF($W21="","",IF(AND($Q$62=1,$U$34=$U$36,$U$36=$U$35),3,IF(AND($Q$62=2,$U$34=$U$36,$U$36=$U$35),2,IF(AND($Q$62=3,$U$34=$U$36,$U$36=$U$35),1,""))))</f>
      </c>
      <c r="AB21" s="58"/>
      <c r="AC21" s="58"/>
      <c r="AD21" s="58"/>
      <c r="AE21" s="88">
        <f t="shared" si="1"/>
        <v>0</v>
      </c>
      <c r="AF21" s="38"/>
    </row>
    <row r="22" spans="1:32" s="83" customFormat="1" ht="9" customHeight="1">
      <c r="A22" s="89"/>
      <c r="B22" s="90"/>
      <c r="C22" s="90"/>
      <c r="D22" s="90"/>
      <c r="E22" s="121"/>
      <c r="F22" s="121"/>
      <c r="G22" s="126"/>
      <c r="H22" s="121"/>
      <c r="I22" s="90"/>
      <c r="J22" s="76"/>
      <c r="K22" s="77"/>
      <c r="L22" s="76"/>
      <c r="M22" s="113"/>
      <c r="N22" s="113"/>
      <c r="O22" s="113"/>
      <c r="P22" s="80"/>
      <c r="Q22" s="81"/>
      <c r="R22" s="82"/>
      <c r="U22" s="30"/>
      <c r="V22" s="98">
        <v>16</v>
      </c>
      <c r="W22" s="98">
        <f>UPPER(IF($D37="","",VLOOKUP($D37,'[1]ž kvalifikacije žrebna lista'!$A$7:$R$38,3)))</f>
      </c>
      <c r="X22" s="98">
        <f>PROPER(IF($D37="","",VLOOKUP($D37,'[1]ž kvalifikacije žrebna lista'!$A$7:$R$38,4)))</f>
      </c>
      <c r="Y22" s="100">
        <f t="shared" si="0"/>
      </c>
      <c r="Z22" s="101">
        <f>IF(W22="","",IF(AND($Q$62=1,$U$36=$U$37),3,IF(AND($Q$62=2,$U$36=$U$37),2,IF(AND($Q$62=3,$U$36=$U$37),1,""))))</f>
      </c>
      <c r="AA22" s="101">
        <f>IF($W22="","",IF(AND($Q$62=1,$U$34=$U$36,$U$36=$U$37),3,IF(AND($Q$62=2,$U$34=$U$36,$U$36=$U$37),2,IF(AND($Q$62=3,$U$34=$U$36,$U$36=$U$37),1,""))))</f>
      </c>
      <c r="AB22" s="100"/>
      <c r="AC22" s="100"/>
      <c r="AD22" s="100"/>
      <c r="AE22" s="102">
        <f t="shared" si="1"/>
        <v>0</v>
      </c>
      <c r="AF22" s="38"/>
    </row>
    <row r="23" spans="1:32" s="83" customFormat="1" ht="9" customHeight="1">
      <c r="A23" s="72">
        <v>9</v>
      </c>
      <c r="B23" s="73" t="str">
        <f>UPPER(IF($D23="","",VLOOKUP($D23,'[1]ž kvalifikacije žrebna lista'!$A$7:$R$38,17)))</f>
        <v>D</v>
      </c>
      <c r="C23" s="73">
        <f>IF($D23="","",VLOOKUP($D23,'[1]ž kvalifikacije žrebna lista'!$A$7:$R$38,2))</f>
        <v>6836</v>
      </c>
      <c r="D23" s="74">
        <v>3</v>
      </c>
      <c r="E23" s="73" t="str">
        <f>UPPER(IF($D23="","",VLOOKUP($D23,'[1]ž kvalifikacije žrebna lista'!$A$7:$R$38,3)))</f>
        <v>ZUKIČ</v>
      </c>
      <c r="F23" s="73" t="str">
        <f>PROPER(IF($D23="","",VLOOKUP($D23,'[1]ž kvalifikacije žrebna lista'!$A$7:$R$38,4)))</f>
        <v>Sandra</v>
      </c>
      <c r="G23" s="73"/>
      <c r="H23" s="73" t="str">
        <f>UPPER(IF($D23="","",VLOOKUP($D23,'[1]ž kvalifikacije žrebna lista'!$A$7:$R$38,5)))</f>
        <v>KOPER</v>
      </c>
      <c r="I23" s="206">
        <f>IF($D23="","",VLOOKUP($D23,'[1]ž kvalifikacije žrebna lista'!$A$7:$R$38,14))</f>
        <v>10</v>
      </c>
      <c r="J23" s="76"/>
      <c r="K23" s="77"/>
      <c r="L23" s="76"/>
      <c r="M23" s="113"/>
      <c r="N23" s="113"/>
      <c r="O23" s="113"/>
      <c r="P23" s="80"/>
      <c r="Q23" s="81"/>
      <c r="R23" s="82"/>
      <c r="U23" s="30">
        <f>IF($D23="","",VLOOKUP($D23,'[1]ž kvalifikacije žrebna lista'!$A$7:$R$38,2))</f>
        <v>6836</v>
      </c>
      <c r="V23" s="56">
        <v>17</v>
      </c>
      <c r="W23" s="56" t="str">
        <f>UPPER(IF($D39="","",VLOOKUP($D39,'[1]ž kvalifikacije žrebna lista'!$A$7:$R$38,3)))</f>
        <v>TURNŠEK</v>
      </c>
      <c r="X23" s="56" t="str">
        <f>PROPER(IF($D39="","",VLOOKUP($D39,'[1]ž kvalifikacije žrebna lista'!$A$7:$R$38,4)))</f>
        <v>Anja</v>
      </c>
      <c r="Y23" s="58">
        <f t="shared" si="0"/>
        <v>6</v>
      </c>
      <c r="Z23" s="87">
        <f>IF(W23="","",IF(AND($Q$62=1,$U$40=$U$39),3,IF(AND($Q$62=2,$U$40=$U$39),2,IF(AND($Q$62=3,$U$40=$U$39),1,""))))</f>
        <v>2</v>
      </c>
      <c r="AA23" s="87">
        <f>IF($W23="","",IF(AND($Q$62=1,$U$42=$U$40,$U$40=$U$39),3,IF(AND($Q$62=2,$U$42=$U$40,$U$40=$U$39),2,IF(AND($Q$62=3,$U$42=$U$40,$U$40=$U$39),1,""))))</f>
        <v>2</v>
      </c>
      <c r="AB23" s="58"/>
      <c r="AC23" s="58"/>
      <c r="AD23" s="58"/>
      <c r="AE23" s="88">
        <f t="shared" si="1"/>
        <v>10</v>
      </c>
      <c r="AF23" s="38"/>
    </row>
    <row r="24" spans="1:32" s="83" customFormat="1" ht="9" customHeight="1">
      <c r="A24" s="89"/>
      <c r="B24" s="90"/>
      <c r="C24" s="90"/>
      <c r="D24" s="90"/>
      <c r="E24" s="91"/>
      <c r="F24" s="91"/>
      <c r="G24" s="92"/>
      <c r="H24" s="93" t="s">
        <v>23</v>
      </c>
      <c r="I24" s="94" t="s">
        <v>24</v>
      </c>
      <c r="J24" s="95" t="str">
        <f>UPPER(IF(OR(I24="a",I24="as"),E23,IF(OR(I24="b",I24="bs"),E25,)))</f>
        <v>ZUKIČ</v>
      </c>
      <c r="K24" s="104">
        <f>IF(OR(I24="a",I24="as"),I23,IF(OR(I24="b",I24="bs"),I25,))</f>
        <v>10</v>
      </c>
      <c r="L24" s="76"/>
      <c r="M24" s="113"/>
      <c r="N24" s="113"/>
      <c r="O24" s="113"/>
      <c r="P24" s="80"/>
      <c r="Q24" s="81"/>
      <c r="R24" s="82"/>
      <c r="U24" s="30">
        <f>IF(OR(I24="a",I24="as"),C23,IF(OR(I24="b",I24="bs"),C25,""))</f>
        <v>6836</v>
      </c>
      <c r="V24" s="98">
        <v>18</v>
      </c>
      <c r="W24" s="98">
        <f>UPPER(IF($D41="","",VLOOKUP($D41,'[1]ž kvalifikacije žrebna lista'!$A$7:$R$38,3)))</f>
      </c>
      <c r="X24" s="98">
        <f>PROPER(IF($D41="","",VLOOKUP($D41,'[1]ž kvalifikacije žrebna lista'!$A$7:$R$38,4)))</f>
      </c>
      <c r="Y24" s="100">
        <f t="shared" si="0"/>
      </c>
      <c r="Z24" s="101">
        <f>IF(W24="","",IF(AND($Q$62=1,$U$40=$U$41),3,IF(AND($Q$62=2,$U$40=$U$41),2,IF(AND($Q$62=3,$U$40=$U$41),1,""))))</f>
      </c>
      <c r="AA24" s="101">
        <f>IF($W24="","",IF(AND($Q$62=1,$U$42=$U$40,$U$40=$U$41),3,IF(AND($Q$62=2,$U$42=$U$40,$U$40=$U$41),2,IF(AND($Q$62=3,$U$42=$U$40,$U$40=$U$41),1,""))))</f>
      </c>
      <c r="AB24" s="100"/>
      <c r="AC24" s="100"/>
      <c r="AD24" s="100"/>
      <c r="AE24" s="102">
        <f t="shared" si="1"/>
        <v>0</v>
      </c>
      <c r="AF24" s="38"/>
    </row>
    <row r="25" spans="1:32" s="83" customFormat="1" ht="9" customHeight="1">
      <c r="A25" s="89">
        <v>10</v>
      </c>
      <c r="B25" s="103">
        <f>UPPER(IF($D25="","",VLOOKUP($D25,'[1]ž kvalifikacije žrebna lista'!$A$7:$R$38,17)))</f>
      </c>
      <c r="C25" s="103">
        <f>IF($D25="","",VLOOKUP($D25,'[1]ž kvalifikacije žrebna lista'!$A$7:$R$38,2))</f>
      </c>
      <c r="D25" s="74"/>
      <c r="E25" s="104" t="s">
        <v>25</v>
      </c>
      <c r="F25" s="104">
        <f>PROPER(IF($D25="","",VLOOKUP($D25,'[1]ž kvalifikacije žrebna lista'!$A$7:$R$38,4)))</f>
      </c>
      <c r="G25" s="104"/>
      <c r="H25" s="104">
        <f>UPPER(IF($D25="","",VLOOKUP($D25,'[1]ž kvalifikacije žrebna lista'!$A$7:$R$38,5)))</f>
      </c>
      <c r="I25" s="207">
        <f>IF($D25="","",VLOOKUP($D25,'[1]ž kvalifikacije žrebna lista'!$A$7:$R$38,14))</f>
      </c>
      <c r="J25" s="106"/>
      <c r="K25" s="208"/>
      <c r="L25" s="76"/>
      <c r="M25" s="113"/>
      <c r="N25" s="113"/>
      <c r="O25" s="113"/>
      <c r="P25" s="80"/>
      <c r="Q25" s="81"/>
      <c r="R25" s="82"/>
      <c r="U25" s="30">
        <f>IF($D25="","",VLOOKUP($D25,'[1]ž kvalifikacije žrebna lista'!$A$7:$R$38,2))</f>
      </c>
      <c r="V25" s="56">
        <v>19</v>
      </c>
      <c r="W25" s="56">
        <f>UPPER(IF($D43="","",VLOOKUP($D43,'[1]ž kvalifikacije žrebna lista'!$A$7:$R$38,3)))</f>
      </c>
      <c r="X25" s="56">
        <f>PROPER(IF($D43="","",VLOOKUP($D43,'[1]ž kvalifikacije žrebna lista'!$A$7:$R$38,4)))</f>
      </c>
      <c r="Y25" s="58">
        <f t="shared" si="0"/>
      </c>
      <c r="Z25" s="87">
        <f>IF(W25="","",IF(AND($Q$62=1,$U$44=$U$43),3,IF(AND($Q$62=2,$U$44=$U$43),2,IF(AND($Q$62=3,$U$44=$U$43),1,""))))</f>
      </c>
      <c r="AA25" s="87">
        <f>IF($W25="","",IF(AND($Q$62=1,$U$42=$U$44,$U$44=$U$43),3,IF(AND($Q$62=2,$U$42=$U$44,$U$44=$U$43),2,IF(AND($Q$62=3,$U$42=$U$44,$U$44=$U$43),1,""))))</f>
      </c>
      <c r="AB25" s="58"/>
      <c r="AC25" s="58"/>
      <c r="AD25" s="58"/>
      <c r="AE25" s="88">
        <f t="shared" si="1"/>
        <v>0</v>
      </c>
      <c r="AF25" s="38"/>
    </row>
    <row r="26" spans="1:32" s="83" customFormat="1" ht="9" customHeight="1">
      <c r="A26" s="89"/>
      <c r="B26" s="90"/>
      <c r="C26" s="90"/>
      <c r="D26" s="109"/>
      <c r="E26" s="91"/>
      <c r="F26" s="91"/>
      <c r="G26" s="92"/>
      <c r="H26" s="91"/>
      <c r="I26" s="90"/>
      <c r="J26" s="93" t="s">
        <v>23</v>
      </c>
      <c r="K26" s="111" t="s">
        <v>24</v>
      </c>
      <c r="L26" s="95" t="str">
        <f>UPPER(IF(OR(K26="a",K26="as"),J24,IF(OR(K26="b",K26="bs"),J28,)))</f>
        <v>ZUKIČ</v>
      </c>
      <c r="M26" s="112"/>
      <c r="N26" s="113"/>
      <c r="O26" s="113"/>
      <c r="P26" s="80"/>
      <c r="Q26" s="81"/>
      <c r="R26" s="82"/>
      <c r="U26" s="30">
        <f>IF(OR(K26="a",K26="as"),$U$25,IF(OR(K26="b",K26="bs"),U28,""))</f>
      </c>
      <c r="V26" s="98">
        <v>20</v>
      </c>
      <c r="W26" s="98">
        <f>UPPER(IF($D45="","",VLOOKUP($D45,'[1]ž kvalifikacije žrebna lista'!$A$7:$R$38,3)))</f>
      </c>
      <c r="X26" s="98">
        <f>PROPER(IF($D45="","",VLOOKUP($D45,'[1]ž kvalifikacije žrebna lista'!$A$7:$R$38,4)))</f>
      </c>
      <c r="Y26" s="100">
        <f t="shared" si="0"/>
      </c>
      <c r="Z26" s="101">
        <f>IF(W26="","",IF(AND($Q$62=1,$U$44=$U$45),3,IF(AND($Q$62=2,$U$44=$U$45),2,IF(AND($Q$62=3,$U$44=$U$45),1,""))))</f>
      </c>
      <c r="AA26" s="101">
        <f>IF($W26="","",IF(AND($Q$62=1,$U$42=$U$44,$U$44=$U$45),3,IF(AND($Q$62=2,$U$42=$U$44,$U$44=$U$45),2,IF(AND($Q$62=3,$U$42=$U$44,$U$44=$U$45),1,""))))</f>
      </c>
      <c r="AB26" s="100"/>
      <c r="AC26" s="100"/>
      <c r="AD26" s="100"/>
      <c r="AE26" s="102">
        <f t="shared" si="1"/>
        <v>0</v>
      </c>
      <c r="AF26" s="38"/>
    </row>
    <row r="27" spans="1:32" s="83" customFormat="1" ht="9" customHeight="1">
      <c r="A27" s="89">
        <v>11</v>
      </c>
      <c r="B27" s="103">
        <f>UPPER(IF($D27="","",VLOOKUP($D27,'[1]ž kvalifikacije žrebna lista'!$A$7:$R$38,17)))</f>
      </c>
      <c r="C27" s="103">
        <f>IF($D27="","",VLOOKUP($D27,'[1]ž kvalifikacije žrebna lista'!$A$7:$R$38,2))</f>
      </c>
      <c r="D27" s="74"/>
      <c r="E27" s="104" t="s">
        <v>25</v>
      </c>
      <c r="F27" s="104">
        <f>PROPER(IF($D27="","",VLOOKUP($D27,'[1]ž kvalifikacije žrebna lista'!$A$7:$R$38,4)))</f>
      </c>
      <c r="G27" s="104"/>
      <c r="H27" s="104">
        <f>UPPER(IF($D27="","",VLOOKUP($D27,'[1]ž kvalifikacije žrebna lista'!$A$7:$R$38,5)))</f>
      </c>
      <c r="I27" s="206">
        <f>IF($D27="","",VLOOKUP($D27,'[1]ž kvalifikacije žrebna lista'!$A$7:$R$38,14))</f>
      </c>
      <c r="J27" s="76"/>
      <c r="K27" s="209"/>
      <c r="L27" s="106"/>
      <c r="M27" s="115"/>
      <c r="N27" s="115"/>
      <c r="O27" s="115"/>
      <c r="P27" s="80"/>
      <c r="Q27" s="81"/>
      <c r="R27" s="82"/>
      <c r="U27" s="30">
        <f>IF($D27="","",VLOOKUP($D27,'[1]ž kvalifikacije žrebna lista'!$A$7:$R$38,2))</f>
      </c>
      <c r="V27" s="56">
        <v>21</v>
      </c>
      <c r="W27" s="56">
        <f>UPPER(IF($D47="","",VLOOKUP($D47,'[1]ž kvalifikacije žrebna lista'!$A$7:$R$38,3)))</f>
      </c>
      <c r="X27" s="56">
        <f>PROPER(IF($D47="","",VLOOKUP($D47,'[1]ž kvalifikacije žrebna lista'!$A$7:$R$38,4)))</f>
      </c>
      <c r="Y27" s="58">
        <f t="shared" si="0"/>
      </c>
      <c r="Z27" s="87">
        <f>IF(W27="","",IF(AND($Q$62=1,$U$48=$U$47),3,IF(AND($Q$62=2,$U$48=$U$47),2,IF(AND($Q$62=3,$U$48=$U$47),1,""))))</f>
      </c>
      <c r="AA27" s="87">
        <f>IF($W27="","",IF(AND($Q$62=1,$U$50=$U$48,$U$48=$U$47),3,IF(AND($Q$62=2,$U$50=$U$48,$U$48=$U$47),2,IF(AND($Q$62=3,$U$50=$U$48,$U$48=$U$47),1,""))))</f>
      </c>
      <c r="AB27" s="58"/>
      <c r="AC27" s="58"/>
      <c r="AD27" s="58"/>
      <c r="AE27" s="88">
        <f t="shared" si="1"/>
        <v>0</v>
      </c>
      <c r="AF27" s="38"/>
    </row>
    <row r="28" spans="1:32" s="83" customFormat="1" ht="9" customHeight="1">
      <c r="A28" s="127"/>
      <c r="B28" s="90"/>
      <c r="C28" s="90"/>
      <c r="D28" s="109"/>
      <c r="E28" s="91"/>
      <c r="F28" s="91"/>
      <c r="G28" s="92"/>
      <c r="H28" s="93" t="s">
        <v>23</v>
      </c>
      <c r="I28" s="94"/>
      <c r="J28" s="95">
        <f>UPPER(IF(OR(I28="a",I28="as"),E27,IF(OR(I28="b",I28="bs"),E29,)))</f>
      </c>
      <c r="K28" s="210">
        <f>IF(OR(I28="a",I28="as"),I27,IF(OR(I28="b",I28="bs"),I29,))</f>
        <v>0</v>
      </c>
      <c r="L28" s="76"/>
      <c r="M28" s="115"/>
      <c r="N28" s="115"/>
      <c r="O28" s="115"/>
      <c r="P28" s="80"/>
      <c r="Q28" s="81"/>
      <c r="R28" s="82"/>
      <c r="U28" s="30">
        <f>IF(OR(I28="a",I28="as"),C27,IF(OR(I28="b",I28="bs"),C29,""))</f>
      </c>
      <c r="V28" s="98">
        <v>22</v>
      </c>
      <c r="W28" s="98" t="str">
        <f>UPPER(IF($D49="","",VLOOKUP($D49,'[1]ž kvalifikacije žrebna lista'!$A$7:$R$38,3)))</f>
        <v>MAKAROVIČ</v>
      </c>
      <c r="X28" s="98" t="str">
        <f>PROPER(IF($D49="","",VLOOKUP($D49,'[1]ž kvalifikacije žrebna lista'!$A$7:$R$38,4)))</f>
        <v>Anika</v>
      </c>
      <c r="Y28" s="100">
        <f t="shared" si="0"/>
        <v>6</v>
      </c>
      <c r="Z28" s="101">
        <f>IF(W28="","",IF(AND($Q$62=1,$U$48=$U$49),3,IF(AND($Q$62=2,$U$48=$U$49),2,IF(AND($Q$62=3,$U$48=$U$49),1,""))))</f>
        <v>2</v>
      </c>
      <c r="AA28" s="101">
        <f>IF($W28="","",IF(AND($Q$62=1,$U$50=$U$48,$U$48=$U$49),3,IF(AND($Q$62=2,$U$50=$U$48,$U$48=$U$49),2,IF(AND($Q$62=3,$U$50=$U$48,$U$48=$U$49),1,""))))</f>
        <v>2</v>
      </c>
      <c r="AB28" s="100"/>
      <c r="AC28" s="100"/>
      <c r="AD28" s="100"/>
      <c r="AE28" s="102">
        <f t="shared" si="1"/>
        <v>10</v>
      </c>
      <c r="AF28" s="38"/>
    </row>
    <row r="29" spans="1:32" s="83" customFormat="1" ht="9" customHeight="1">
      <c r="A29" s="89">
        <v>12</v>
      </c>
      <c r="B29" s="103">
        <f>UPPER(IF($D29="","",VLOOKUP($D29,'[1]ž kvalifikacije žrebna lista'!$A$7:$R$38,17)))</f>
      </c>
      <c r="C29" s="103">
        <f>IF($D29="","",VLOOKUP($D29,'[1]ž kvalifikacije žrebna lista'!$A$7:$R$38,2))</f>
      </c>
      <c r="D29" s="74"/>
      <c r="E29" s="104" t="s">
        <v>25</v>
      </c>
      <c r="F29" s="104">
        <f>PROPER(IF($D29="","",VLOOKUP($D29,'[1]ž kvalifikacije žrebna lista'!$A$7:$R$38,4)))</f>
      </c>
      <c r="G29" s="104"/>
      <c r="H29" s="104">
        <f>UPPER(IF($D29="","",VLOOKUP($D29,'[1]ž kvalifikacije žrebna lista'!$A$7:$R$38,5)))</f>
      </c>
      <c r="I29" s="211">
        <f>IF($D29="","",VLOOKUP($D29,'[1]ž kvalifikacije žrebna lista'!$A$7:$R$38,14))</f>
      </c>
      <c r="J29" s="106"/>
      <c r="K29" s="77"/>
      <c r="L29" s="76"/>
      <c r="M29" s="115"/>
      <c r="N29" s="115"/>
      <c r="O29" s="115"/>
      <c r="P29" s="80"/>
      <c r="Q29" s="81"/>
      <c r="R29" s="82"/>
      <c r="U29" s="30">
        <f>IF($D29="","",VLOOKUP($D29,'[1]ž kvalifikacije žrebna lista'!$A$7:$R$38,2))</f>
      </c>
      <c r="V29" s="56">
        <v>23</v>
      </c>
      <c r="W29" s="56">
        <f>UPPER(IF($D51="","",VLOOKUP($D51,'[1]ž kvalifikacije žrebna lista'!$A$7:$R$38,3)))</f>
      </c>
      <c r="X29" s="56">
        <f>PROPER(IF($D51="","",VLOOKUP($D51,'[1]ž kvalifikacije žrebna lista'!$A$7:$R$38,4)))</f>
      </c>
      <c r="Y29" s="58">
        <f t="shared" si="0"/>
      </c>
      <c r="Z29" s="87">
        <f>IF(W29="","",IF(AND($Q$62=1,$U$52=$U$51),3,IF(AND($Q$62=2,$U$52=$U$51),2,IF(AND($Q$62=3,$U$52=$U$51),1,""))))</f>
      </c>
      <c r="AA29" s="87">
        <f>IF($W29="","",IF(AND($Q$62=1,$U$50=$U$52,$U$52=$U$51),3,IF(AND($Q$62=2,$U$50=$U$52,$U$52=$U$51),2,IF(AND($Q$62=3,$U$50=$U$52,$U$52=$U$51),1,""))))</f>
      </c>
      <c r="AB29" s="58"/>
      <c r="AC29" s="58"/>
      <c r="AD29" s="58"/>
      <c r="AE29" s="88">
        <f t="shared" si="1"/>
        <v>0</v>
      </c>
      <c r="AF29" s="38"/>
    </row>
    <row r="30" spans="1:32" s="83" customFormat="1" ht="9" customHeight="1">
      <c r="A30" s="89"/>
      <c r="B30" s="90"/>
      <c r="C30" s="90"/>
      <c r="D30" s="109"/>
      <c r="E30" s="76"/>
      <c r="F30" s="76"/>
      <c r="G30" s="120"/>
      <c r="H30" s="121"/>
      <c r="I30" s="90"/>
      <c r="J30" s="76"/>
      <c r="K30" s="77"/>
      <c r="L30" s="76"/>
      <c r="M30" s="122"/>
      <c r="N30" s="123">
        <f>UPPER(IF(OR(M30="a",M30="as"),L26,IF(OR(M30="b",M30="bs"),L34,)))</f>
      </c>
      <c r="O30" s="115"/>
      <c r="P30" s="80"/>
      <c r="Q30" s="81"/>
      <c r="R30" s="82"/>
      <c r="U30" s="30"/>
      <c r="V30" s="98">
        <v>24</v>
      </c>
      <c r="W30" s="98">
        <f>UPPER(IF($D53="","",VLOOKUP($D53,'[1]ž kvalifikacije žrebna lista'!$A$7:$R$38,3)))</f>
      </c>
      <c r="X30" s="98">
        <f>PROPER(IF($D53="","",VLOOKUP($D53,'[1]ž kvalifikacije žrebna lista'!$A$7:$R$38,4)))</f>
      </c>
      <c r="Y30" s="100">
        <f t="shared" si="0"/>
      </c>
      <c r="Z30" s="101">
        <f>IF(W30="","",IF(AND($Q$62=1,$U$52=$U$53),3,IF(AND($Q$62=2,$U$52=$U$53),2,IF(AND($Q$62=3,$U$52=$U$53),1,""))))</f>
      </c>
      <c r="AA30" s="101">
        <f>IF($W30="","",IF(AND($Q$62=1,$U$50=$U$52,$U$52=$U$53),3,IF(AND($Q$62=2,$U$50=$U$52,$U$52=$U$53),2,IF(AND($Q$62=3,$U$50=$U$52,$U$52=$U$53),1,""))))</f>
      </c>
      <c r="AB30" s="100"/>
      <c r="AC30" s="100"/>
      <c r="AD30" s="100"/>
      <c r="AE30" s="102">
        <f t="shared" si="1"/>
        <v>0</v>
      </c>
      <c r="AF30" s="38"/>
    </row>
    <row r="31" spans="1:32" s="83" customFormat="1" ht="9" customHeight="1">
      <c r="A31" s="72">
        <v>13</v>
      </c>
      <c r="B31" s="73" t="str">
        <f>UPPER(IF($D31="","",VLOOKUP($D31,'[1]ž kvalifikacije žrebna lista'!$A$7:$R$38,17)))</f>
        <v>D</v>
      </c>
      <c r="C31" s="73">
        <f>IF($D31="","",VLOOKUP($D31,'[1]ž kvalifikacije žrebna lista'!$A$7:$R$38,2))</f>
        <v>6681</v>
      </c>
      <c r="D31" s="74">
        <v>4</v>
      </c>
      <c r="E31" s="73" t="str">
        <f>UPPER(IF($D31="","",VLOOKUP($D31,'[1]ž kvalifikacije žrebna lista'!$A$7:$R$38,3)))</f>
        <v>SEFIČ</v>
      </c>
      <c r="F31" s="73" t="str">
        <f>PROPER(IF($D31="","",VLOOKUP($D31,'[1]ž kvalifikacije žrebna lista'!$A$7:$R$38,4)))</f>
        <v>Laura</v>
      </c>
      <c r="G31" s="73"/>
      <c r="H31" s="73" t="str">
        <f>UPPER(IF($D31="","",VLOOKUP($D31,'[1]ž kvalifikacije žrebna lista'!$A$7:$R$38,5)))</f>
        <v>RADOV</v>
      </c>
      <c r="I31" s="212">
        <f>IF($D31="","",VLOOKUP($D31,'[1]ž kvalifikacije žrebna lista'!$A$7:$R$38,14))</f>
        <v>10</v>
      </c>
      <c r="J31" s="76"/>
      <c r="K31" s="77"/>
      <c r="L31" s="76"/>
      <c r="M31" s="115"/>
      <c r="N31" s="123"/>
      <c r="O31" s="115"/>
      <c r="P31" s="80"/>
      <c r="Q31" s="81"/>
      <c r="R31" s="82"/>
      <c r="U31" s="30">
        <f>IF($D31="","",VLOOKUP($D31,'[1]ž kvalifikacije žrebna lista'!$A$7:$R$38,2))</f>
        <v>6681</v>
      </c>
      <c r="V31" s="56">
        <v>25</v>
      </c>
      <c r="W31" s="56">
        <f>UPPER(IF($D55="","",VLOOKUP($D55,'[1]ž kvalifikacije žrebna lista'!$A$7:$R$38,3)))</f>
      </c>
      <c r="X31" s="56">
        <f>PROPER(IF($D55="","",VLOOKUP($D55,'[1]ž kvalifikacije žrebna lista'!$A$7:$R$38,4)))</f>
      </c>
      <c r="Y31" s="58">
        <f t="shared" si="0"/>
      </c>
      <c r="Z31" s="87">
        <f>IF(W31="","",IF(AND($Q$62=1,$U$56=$U$55),3,IF(AND($Q$62=2,$U$56=$U$55),2,IF(AND($Q$62=3,$U$56=$U$55),1,""))))</f>
      </c>
      <c r="AA31" s="87">
        <f>IF($W31="","",IF(AND($Q$62=1,$U$58=$U$56,$U$56=$U$55),3,IF(AND($Q$62=2,$U$58=$U$56,$U$56=$U$55),2,IF(AND($Q$62=3,$U$58=$U$56,$U$56=$U$55),1,""))))</f>
      </c>
      <c r="AB31" s="58"/>
      <c r="AC31" s="58"/>
      <c r="AD31" s="58"/>
      <c r="AE31" s="88">
        <f t="shared" si="1"/>
        <v>0</v>
      </c>
      <c r="AF31" s="38"/>
    </row>
    <row r="32" spans="1:32" s="83" customFormat="1" ht="9" customHeight="1">
      <c r="A32" s="89"/>
      <c r="B32" s="90"/>
      <c r="C32" s="90"/>
      <c r="D32" s="109"/>
      <c r="E32" s="91"/>
      <c r="F32" s="91"/>
      <c r="G32" s="92"/>
      <c r="H32" s="93" t="s">
        <v>23</v>
      </c>
      <c r="I32" s="94" t="s">
        <v>24</v>
      </c>
      <c r="J32" s="95" t="str">
        <f>UPPER(IF(OR(I32="a",I32="as"),E31,IF(OR(I32="b",I32="bs"),E33,)))</f>
        <v>SEFIČ</v>
      </c>
      <c r="K32" s="104">
        <f>IF(OR(I32="a",I32="as"),I31,IF(OR(I32="b",I32="bs"),I33,))</f>
        <v>10</v>
      </c>
      <c r="L32" s="76"/>
      <c r="M32" s="115"/>
      <c r="N32" s="115"/>
      <c r="O32" s="115"/>
      <c r="P32" s="80"/>
      <c r="Q32" s="81"/>
      <c r="R32" s="82"/>
      <c r="U32" s="30">
        <f>IF(OR(I32="a",I32="as"),C31,IF(OR(I32="b",I32="bs"),C33,""))</f>
        <v>6681</v>
      </c>
      <c r="V32" s="98">
        <v>26</v>
      </c>
      <c r="W32" s="98" t="str">
        <f>UPPER(IF($D57="","",VLOOKUP($D57,'[1]ž kvalifikacije žrebna lista'!$A$7:$R$38,3)))</f>
        <v>MERVIČ</v>
      </c>
      <c r="X32" s="98" t="str">
        <f>PROPER(IF($D57="","",VLOOKUP($D57,'[1]ž kvalifikacije žrebna lista'!$A$7:$R$38,4)))</f>
        <v>Ana</v>
      </c>
      <c r="Y32" s="100">
        <f t="shared" si="0"/>
        <v>6</v>
      </c>
      <c r="Z32" s="101">
        <f>IF(W32="","",IF(AND($Q$62=1,$U$56=$U$57),3,IF(AND($Q$62=2,$U$56=$U$57),2,IF(AND($Q$62=3,$U$56=$U$57),1,""))))</f>
        <v>2</v>
      </c>
      <c r="AA32" s="101">
        <f>IF($W32="","",IF(AND($Q$62=1,$U$58=$U$56,$U$56=$U$57),3,IF(AND($Q$62=2,$U$58=$U$56,$U$56=$U$57),2,IF(AND($Q$62=3,$U$58=$U$56,$U$56=$U$57),1,""))))</f>
        <v>2</v>
      </c>
      <c r="AB32" s="100"/>
      <c r="AC32" s="100"/>
      <c r="AD32" s="100"/>
      <c r="AE32" s="102">
        <f t="shared" si="1"/>
        <v>10</v>
      </c>
      <c r="AF32" s="38"/>
    </row>
    <row r="33" spans="1:32" s="83" customFormat="1" ht="9" customHeight="1">
      <c r="A33" s="89">
        <v>14</v>
      </c>
      <c r="B33" s="103">
        <f>UPPER(IF($D33="","",VLOOKUP($D33,'[1]ž kvalifikacije žrebna lista'!$A$7:$R$38,17)))</f>
      </c>
      <c r="C33" s="103">
        <f>IF($D33="","",VLOOKUP($D33,'[1]ž kvalifikacije žrebna lista'!$A$7:$R$38,2))</f>
      </c>
      <c r="D33" s="74"/>
      <c r="E33" s="104" t="s">
        <v>25</v>
      </c>
      <c r="F33" s="104">
        <f>PROPER(IF($D33="","",VLOOKUP($D33,'[1]ž kvalifikacije žrebna lista'!$A$7:$R$38,4)))</f>
      </c>
      <c r="G33" s="104"/>
      <c r="H33" s="104">
        <f>UPPER(IF($D33="","",VLOOKUP($D33,'[1]ž kvalifikacije žrebna lista'!$A$7:$R$38,5)))</f>
      </c>
      <c r="I33" s="207">
        <f>IF($D33="","",VLOOKUP($D33,'[1]ž kvalifikacije žrebna lista'!$A$7:$R$38,14))</f>
      </c>
      <c r="J33" s="106"/>
      <c r="K33" s="208"/>
      <c r="L33" s="76"/>
      <c r="M33" s="115"/>
      <c r="N33" s="115"/>
      <c r="O33" s="115"/>
      <c r="P33" s="80"/>
      <c r="Q33" s="81"/>
      <c r="R33" s="82"/>
      <c r="U33" s="30">
        <f>IF($D33="","",VLOOKUP($D33,'[1]ž kvalifikacije žrebna lista'!$A$7:$R$38,2))</f>
      </c>
      <c r="V33" s="56">
        <v>27</v>
      </c>
      <c r="W33" s="56">
        <f>UPPER(IF($D59="","",VLOOKUP($D59,'[1]ž kvalifikacije žrebna lista'!$A$7:$R$38,3)))</f>
      </c>
      <c r="X33" s="56">
        <f>PROPER(IF($D59="","",VLOOKUP($D59,'[1]ž kvalifikacije žrebna lista'!$A$7:$R$38,4)))</f>
      </c>
      <c r="Y33" s="58">
        <f t="shared" si="0"/>
      </c>
      <c r="Z33" s="87">
        <f>IF(W33="","",IF(AND($Q$62=1,$U$60=$U$59),3,IF(AND($Q$62=2,$U$60=$U$59),2,IF(AND($Q$62=3,$U$60=$U$59),1,""))))</f>
      </c>
      <c r="AA33" s="87">
        <f>IF($W33="","",IF(AND($Q$62=1,$U$58=$U$60,$U$60=$U$59),3,IF(AND($Q$62=2,$U$58=$U$60,$U$60=$U$59),2,IF(AND($Q$62=3,$U$58=$U$60,$U$60=$U$59),1,""))))</f>
      </c>
      <c r="AB33" s="58"/>
      <c r="AC33" s="58"/>
      <c r="AD33" s="58"/>
      <c r="AE33" s="88">
        <f t="shared" si="1"/>
        <v>0</v>
      </c>
      <c r="AF33" s="38"/>
    </row>
    <row r="34" spans="1:32" s="83" customFormat="1" ht="9" customHeight="1">
      <c r="A34" s="89"/>
      <c r="B34" s="90"/>
      <c r="C34" s="90"/>
      <c r="D34" s="109"/>
      <c r="E34" s="91"/>
      <c r="F34" s="91"/>
      <c r="G34" s="92"/>
      <c r="H34" s="76"/>
      <c r="I34" s="90"/>
      <c r="J34" s="93" t="s">
        <v>23</v>
      </c>
      <c r="K34" s="111" t="s">
        <v>24</v>
      </c>
      <c r="L34" s="95" t="str">
        <f>UPPER(IF(OR(K34="a",K34="as"),J32,IF(OR(K34="b",K34="bs"),J36,)))</f>
        <v>SEFIČ</v>
      </c>
      <c r="M34" s="112"/>
      <c r="N34" s="115"/>
      <c r="O34" s="115"/>
      <c r="P34" s="80"/>
      <c r="Q34" s="81"/>
      <c r="R34" s="82"/>
      <c r="U34" s="30">
        <f>IF(OR(K34="a",K34="as"),$U$32,IF(OR(K34="b",K34="bs"),U36,""))</f>
        <v>6681</v>
      </c>
      <c r="V34" s="98">
        <v>28</v>
      </c>
      <c r="W34" s="98" t="str">
        <f>UPPER(IF($D61="","",VLOOKUP($D61,'[1]ž kvalifikacije žrebna lista'!$A$7:$R$38,3)))</f>
        <v>HANC</v>
      </c>
      <c r="X34" s="98" t="str">
        <f>PROPER(IF($D61="","",VLOOKUP($D61,'[1]ž kvalifikacije žrebna lista'!$A$7:$R$38,4)))</f>
        <v>Živa</v>
      </c>
      <c r="Y34" s="100">
        <f t="shared" si="0"/>
        <v>6</v>
      </c>
      <c r="Z34" s="101">
        <f>IF(W34="","",IF(AND($Q$62=1,$U$60=$U$61),3,IF(AND($Q$62=2,$U$60=$U$61),2,IF(AND($Q$62=3,$U$60=$U$61),1,""))))</f>
        <v>2</v>
      </c>
      <c r="AA34" s="101">
        <f>IF($W34="","",IF(AND($Q$62=1,$U$58=$U$60,$U$60=$U$61),3,IF(AND($Q$62=2,$U$58=$U$60,$U$60=$U$61),2,IF(AND($Q$62=3,$U$58=$U$60,$U$60=$U$61),1,""))))</f>
      </c>
      <c r="AB34" s="100"/>
      <c r="AC34" s="100"/>
      <c r="AD34" s="100"/>
      <c r="AE34" s="102">
        <f t="shared" si="1"/>
        <v>8</v>
      </c>
      <c r="AF34" s="38"/>
    </row>
    <row r="35" spans="1:32" s="83" customFormat="1" ht="9" customHeight="1">
      <c r="A35" s="89">
        <v>15</v>
      </c>
      <c r="B35" s="103">
        <f>UPPER(IF($D35="","",VLOOKUP($D35,'[1]ž kvalifikacije žrebna lista'!$A$7:$R$38,17)))</f>
      </c>
      <c r="C35" s="103">
        <f>IF($D35="","",VLOOKUP($D35,'[1]ž kvalifikacije žrebna lista'!$A$7:$R$38,2))</f>
      </c>
      <c r="D35" s="74"/>
      <c r="E35" s="104" t="s">
        <v>25</v>
      </c>
      <c r="F35" s="104">
        <f>PROPER(IF($D35="","",VLOOKUP($D35,'[1]ž kvalifikacije žrebna lista'!$A$7:$R$38,4)))</f>
      </c>
      <c r="G35" s="104"/>
      <c r="H35" s="104">
        <f>UPPER(IF($D35="","",VLOOKUP($D35,'[1]ž kvalifikacije žrebna lista'!$A$7:$R$38,5)))</f>
      </c>
      <c r="I35" s="206">
        <f>IF($D35="","",VLOOKUP($D35,'[1]ž kvalifikacije žrebna lista'!$A$7:$R$38,14))</f>
      </c>
      <c r="J35" s="76"/>
      <c r="K35" s="209"/>
      <c r="L35" s="106"/>
      <c r="M35" s="113"/>
      <c r="N35" s="113"/>
      <c r="O35" s="113"/>
      <c r="P35" s="80"/>
      <c r="Q35" s="81"/>
      <c r="R35" s="82"/>
      <c r="U35" s="30">
        <f>IF($D35="","",VLOOKUP($D35,'[1]ž kvalifikacije žrebna lista'!$A$7:$R$38,2))</f>
      </c>
      <c r="V35" s="56">
        <v>29</v>
      </c>
      <c r="W35" s="56">
        <f>UPPER(IF($D63="","",VLOOKUP($D63,'[1]ž kvalifikacije žrebna lista'!$A$7:$R$38,3)))</f>
      </c>
      <c r="X35" s="56">
        <f>PROPER(IF($D63="","",VLOOKUP($D63,'[1]ž kvalifikacije žrebna lista'!$A$7:$R$38,4)))</f>
      </c>
      <c r="Y35" s="58">
        <f t="shared" si="0"/>
      </c>
      <c r="Z35" s="87">
        <f>IF(W35="","",IF(AND($Q$62=1,$U$64=$U$63),3,IF(AND($Q$62=2,$U$64=$U$63),2,IF(AND($Q$62=3,$U$64=$U$63),1,""))))</f>
      </c>
      <c r="AA35" s="87">
        <f>IF($W35="","",IF(AND($Q$62=1,$U$66=$U$64,$U$64=$U$63),3,IF(AND($Q$62=2,$U$66=$U$64,$U$64=$U$63),2,IF(AND($Q$62=3,$U$66=$U$64,$U$64=$U$63),1,""))))</f>
      </c>
      <c r="AB35" s="58"/>
      <c r="AC35" s="58"/>
      <c r="AD35" s="58"/>
      <c r="AE35" s="88">
        <f t="shared" si="1"/>
        <v>0</v>
      </c>
      <c r="AF35" s="38"/>
    </row>
    <row r="36" spans="1:32" s="83" customFormat="1" ht="9" customHeight="1">
      <c r="A36" s="89"/>
      <c r="B36" s="90"/>
      <c r="C36" s="90"/>
      <c r="D36" s="90"/>
      <c r="E36" s="91"/>
      <c r="F36" s="91"/>
      <c r="G36" s="92"/>
      <c r="H36" s="93" t="s">
        <v>23</v>
      </c>
      <c r="I36" s="94"/>
      <c r="J36" s="95">
        <f>UPPER(IF(OR(I36="a",I36="as"),E35,IF(OR(I36="b",I36="bs"),E37,)))</f>
      </c>
      <c r="K36" s="210">
        <f>IF(OR(I36="a",I36="as"),I35,IF(OR(I36="b",I36="bs"),I37,))</f>
        <v>0</v>
      </c>
      <c r="L36" s="76"/>
      <c r="M36" s="113"/>
      <c r="N36" s="113"/>
      <c r="O36" s="113"/>
      <c r="P36" s="80"/>
      <c r="Q36" s="81"/>
      <c r="R36" s="82"/>
      <c r="U36" s="30">
        <f>IF(OR(I36="a",I36="as"),C35,IF(OR(I36="b",I36="bs"),C37,""))</f>
      </c>
      <c r="V36" s="98">
        <v>30</v>
      </c>
      <c r="W36" s="98" t="str">
        <f>UPPER(IF($D65="","",VLOOKUP($D65,'[1]ž kvalifikacije žrebna lista'!$A$7:$R$38,3)))</f>
        <v>DEVETAK</v>
      </c>
      <c r="X36" s="98" t="str">
        <f>PROPER(IF($D65="","",VLOOKUP($D65,'[1]ž kvalifikacije žrebna lista'!$A$7:$R$38,4)))</f>
        <v>Martina</v>
      </c>
      <c r="Y36" s="100">
        <f t="shared" si="0"/>
        <v>6</v>
      </c>
      <c r="Z36" s="101">
        <f>IF(W36="","",IF(AND($Q$62=1,$U$64=$U$65),3,IF(AND($Q$62=2,$U$64=$U$65),2,IF(AND($Q$62=3,$U$64=$U$65),1,""))))</f>
        <v>2</v>
      </c>
      <c r="AA36" s="101">
        <f>IF($W36="","",IF(AND($Q$62=1,$U$66=$U$64,$U$64=$U$65),3,IF(AND($Q$62=2,$U$66=$U$64,$U$64=$U$65),2,IF(AND($Q$62=3,$U$66=$U$64,$U$64=$U$65),1,""))))</f>
        <v>2</v>
      </c>
      <c r="AB36" s="100"/>
      <c r="AC36" s="100"/>
      <c r="AD36" s="100"/>
      <c r="AE36" s="102">
        <f t="shared" si="1"/>
        <v>10</v>
      </c>
      <c r="AF36" s="38"/>
    </row>
    <row r="37" spans="1:32" s="83" customFormat="1" ht="9" customHeight="1">
      <c r="A37" s="89">
        <v>16</v>
      </c>
      <c r="B37" s="103">
        <f>UPPER(IF($D37="","",VLOOKUP($D37,'[1]ž kvalifikacije žrebna lista'!$A$7:$R$38,17)))</f>
      </c>
      <c r="C37" s="103">
        <f>IF($D37="","",VLOOKUP($D37,'[1]ž kvalifikacije žrebna lista'!$A$7:$R$38,2))</f>
      </c>
      <c r="D37" s="74"/>
      <c r="E37" s="104" t="s">
        <v>25</v>
      </c>
      <c r="F37" s="104">
        <f>PROPER(IF($D37="","",VLOOKUP($D37,'[1]ž kvalifikacije žrebna lista'!$A$7:$R$38,4)))</f>
      </c>
      <c r="G37" s="104"/>
      <c r="H37" s="104">
        <f>UPPER(IF($D37="","",VLOOKUP($D37,'[1]ž kvalifikacije žrebna lista'!$A$7:$R$38,5)))</f>
      </c>
      <c r="I37" s="211">
        <f>IF($D37="","",VLOOKUP($D37,'[1]ž kvalifikacije žrebna lista'!$A$7:$R$38,14))</f>
      </c>
      <c r="J37" s="106"/>
      <c r="K37" s="77"/>
      <c r="L37" s="76"/>
      <c r="M37" s="113"/>
      <c r="N37" s="113"/>
      <c r="O37" s="113"/>
      <c r="P37" s="80"/>
      <c r="Q37" s="81"/>
      <c r="R37" s="82"/>
      <c r="U37" s="30">
        <f>IF($D37="","",VLOOKUP($D37,'[1]ž kvalifikacije žrebna lista'!$A$7:$R$38,2))</f>
      </c>
      <c r="V37" s="56">
        <v>31</v>
      </c>
      <c r="W37" s="56">
        <f>UPPER(IF($D67="","",VLOOKUP($D67,'[1]ž kvalifikacije žrebna lista'!$A$7:$R$38,3)))</f>
      </c>
      <c r="X37" s="56">
        <f>PROPER(IF($D67="","",VLOOKUP($D67,'[1]ž kvalifikacije žrebna lista'!$A$7:$R$38,4)))</f>
      </c>
      <c r="Y37" s="58">
        <f t="shared" si="0"/>
      </c>
      <c r="Z37" s="87">
        <f>IF(W37="","",IF(AND($Q$62=1,$U$68=$U$67),3,IF(AND($Q$62=2,$U$68=$U$67),2,IF(AND($Q$62=3,$U$68=$U$67),1,""))))</f>
      </c>
      <c r="AA37" s="87">
        <f>IF($W37="","",IF(AND($Q$62=1,$U$66=$U$68,$U$68=$U$67),3,IF(AND($Q$62=2,$U$66=$U$68,$U$68=$U$67),2,IF(AND($Q$62=3,$U$66=$U$68,$U$68=$U$67),1,""))))</f>
      </c>
      <c r="AB37" s="58"/>
      <c r="AC37" s="58"/>
      <c r="AD37" s="58"/>
      <c r="AE37" s="88">
        <f t="shared" si="1"/>
        <v>0</v>
      </c>
      <c r="AF37" s="38"/>
    </row>
    <row r="38" spans="1:32" s="83" customFormat="1" ht="9" customHeight="1">
      <c r="A38" s="89"/>
      <c r="B38" s="90"/>
      <c r="C38" s="90"/>
      <c r="D38" s="90"/>
      <c r="E38" s="91"/>
      <c r="F38" s="91"/>
      <c r="G38" s="92"/>
      <c r="H38" s="91"/>
      <c r="I38" s="90"/>
      <c r="J38" s="76"/>
      <c r="K38" s="77"/>
      <c r="L38" s="76"/>
      <c r="M38" s="113"/>
      <c r="N38" s="113"/>
      <c r="O38" s="113"/>
      <c r="P38" s="80"/>
      <c r="Q38" s="81"/>
      <c r="R38" s="82"/>
      <c r="U38" s="30"/>
      <c r="V38" s="98">
        <v>32</v>
      </c>
      <c r="W38" s="98" t="str">
        <f>UPPER(IF($D69="","",VLOOKUP($D69,'[1]ž kvalifikacije žrebna lista'!$A$7:$R$38,3)))</f>
        <v>HANC</v>
      </c>
      <c r="X38" s="98" t="str">
        <f>PROPER(IF($D69="","",VLOOKUP($D69,'[1]ž kvalifikacije žrebna lista'!$A$7:$R$38,4)))</f>
        <v>Veronika</v>
      </c>
      <c r="Y38" s="100">
        <f t="shared" si="0"/>
        <v>6</v>
      </c>
      <c r="Z38" s="101">
        <f>IF(W38="","",IF(AND($Q$62=1,$U$68=$U$69),3,IF(AND($Q$62=2,$U$68=$U$69),2,IF(AND($Q$62=3,$U$68=$U$69),1,""))))</f>
        <v>2</v>
      </c>
      <c r="AA38" s="101">
        <f>IF($W38="","",IF(AND($Q$62=1,$U$66=$U$68,$U$68=$U$69),3,IF(AND($Q$62=2,$U$66=$U$68,$U$68=$U$69),2,IF(AND($Q$62=3,$U$66=$U$68,$U$68=$U$69),1,""))))</f>
      </c>
      <c r="AB38" s="100"/>
      <c r="AC38" s="100"/>
      <c r="AD38" s="100"/>
      <c r="AE38" s="102">
        <f t="shared" si="1"/>
        <v>8</v>
      </c>
      <c r="AF38" s="38"/>
    </row>
    <row r="39" spans="1:32" s="83" customFormat="1" ht="9" customHeight="1">
      <c r="A39" s="72">
        <v>17</v>
      </c>
      <c r="B39" s="73" t="str">
        <f>UPPER(IF($D39="","",VLOOKUP($D39,'[1]ž kvalifikacije žrebna lista'!$A$7:$R$38,17)))</f>
        <v>D</v>
      </c>
      <c r="C39" s="73">
        <f>IF($D39="","",VLOOKUP($D39,'[1]ž kvalifikacije žrebna lista'!$A$7:$R$38,2))</f>
        <v>7475</v>
      </c>
      <c r="D39" s="74">
        <v>5</v>
      </c>
      <c r="E39" s="73" t="str">
        <f>UPPER(IF($D39="","",VLOOKUP($D39,'[1]ž kvalifikacije žrebna lista'!$A$7:$R$38,3)))</f>
        <v>TURNŠEK</v>
      </c>
      <c r="F39" s="73" t="str">
        <f>PROPER(IF($D39="","",VLOOKUP($D39,'[1]ž kvalifikacije žrebna lista'!$A$7:$R$38,4)))</f>
        <v>Anja</v>
      </c>
      <c r="G39" s="73"/>
      <c r="H39" s="73" t="str">
        <f>UPPER(IF($D39="","",VLOOKUP($D39,'[1]ž kvalifikacije žrebna lista'!$A$7:$R$38,5)))</f>
        <v>LTC</v>
      </c>
      <c r="I39" s="206">
        <f>IF($D39="","",VLOOKUP($D39,'[1]ž kvalifikacije žrebna lista'!$A$7:$R$38,14))</f>
        <v>10</v>
      </c>
      <c r="J39" s="76"/>
      <c r="K39" s="77"/>
      <c r="L39" s="76"/>
      <c r="M39" s="113"/>
      <c r="N39" s="113"/>
      <c r="O39" s="113"/>
      <c r="P39" s="128"/>
      <c r="Q39" s="81"/>
      <c r="R39" s="82"/>
      <c r="U39" s="30">
        <f>IF($D39="","",VLOOKUP($D39,'[1]ž kvalifikacije žrebna lista'!$A$7:$R$38,2))</f>
        <v>7475</v>
      </c>
      <c r="Y39" s="36">
        <f aca="true" t="shared" si="2" ref="Y39:AE39">COUNTIF(Y7:Y38,"&gt;0")</f>
        <v>10</v>
      </c>
      <c r="Z39" s="36">
        <f t="shared" si="2"/>
        <v>10</v>
      </c>
      <c r="AA39" s="36">
        <f t="shared" si="2"/>
        <v>7</v>
      </c>
      <c r="AB39" s="36">
        <f t="shared" si="2"/>
        <v>0</v>
      </c>
      <c r="AC39" s="36">
        <f t="shared" si="2"/>
        <v>0</v>
      </c>
      <c r="AD39" s="36">
        <f t="shared" si="2"/>
        <v>0</v>
      </c>
      <c r="AE39" s="36">
        <f t="shared" si="2"/>
        <v>10</v>
      </c>
      <c r="AF39" s="38"/>
    </row>
    <row r="40" spans="1:32" s="83" customFormat="1" ht="9" customHeight="1">
      <c r="A40" s="89"/>
      <c r="B40" s="90"/>
      <c r="C40" s="90"/>
      <c r="D40" s="90"/>
      <c r="E40" s="91"/>
      <c r="F40" s="91"/>
      <c r="G40" s="92"/>
      <c r="H40" s="93" t="s">
        <v>23</v>
      </c>
      <c r="I40" s="94" t="s">
        <v>24</v>
      </c>
      <c r="J40" s="95" t="str">
        <f>UPPER(IF(OR(I40="a",I40="as"),E39,IF(OR(I40="b",I40="bs"),E41,)))</f>
        <v>TURNŠEK</v>
      </c>
      <c r="K40" s="104">
        <f>IF(OR(I40="a",I40="as"),I39,IF(OR(I40="b",I40="bs"),I41,))</f>
        <v>10</v>
      </c>
      <c r="L40" s="76"/>
      <c r="M40" s="113"/>
      <c r="N40" s="113"/>
      <c r="O40" s="113"/>
      <c r="P40" s="129"/>
      <c r="Q40" s="130"/>
      <c r="R40" s="82"/>
      <c r="U40" s="30">
        <f>IF(OR(I40="a",I40="as"),C39,IF(OR(I40="b",I40="bs"),C41,""))</f>
        <v>7475</v>
      </c>
      <c r="AF40" s="38"/>
    </row>
    <row r="41" spans="1:36" s="83" customFormat="1" ht="9" customHeight="1">
      <c r="A41" s="89">
        <v>18</v>
      </c>
      <c r="B41" s="103">
        <f>UPPER(IF($D41="","",VLOOKUP($D41,'[1]ž kvalifikacije žrebna lista'!$A$7:$R$38,17)))</f>
      </c>
      <c r="C41" s="103">
        <f>IF($D41="","",VLOOKUP($D41,'[1]ž kvalifikacije žrebna lista'!$A$7:$R$38,2))</f>
      </c>
      <c r="D41" s="74"/>
      <c r="E41" s="104" t="s">
        <v>25</v>
      </c>
      <c r="F41" s="104">
        <f>PROPER(IF($D41="","",VLOOKUP($D41,'[1]ž kvalifikacije žrebna lista'!$A$7:$R$38,4)))</f>
      </c>
      <c r="G41" s="104"/>
      <c r="H41" s="104">
        <f>UPPER(IF($D41="","",VLOOKUP($D41,'[1]ž kvalifikacije žrebna lista'!$A$7:$R$38,5)))</f>
      </c>
      <c r="I41" s="207">
        <f>IF($D41="","",VLOOKUP($D41,'[1]ž kvalifikacije žrebna lista'!$A$7:$R$38,14))</f>
      </c>
      <c r="J41" s="106"/>
      <c r="K41" s="208"/>
      <c r="L41" s="76"/>
      <c r="M41" s="113"/>
      <c r="N41" s="113"/>
      <c r="O41" s="113"/>
      <c r="P41" s="80"/>
      <c r="Q41" s="81"/>
      <c r="R41" s="82"/>
      <c r="U41" s="30">
        <f>IF($D41="","",VLOOKUP($D41,'[1]ž kvalifikacije žrebna lista'!$A$7:$R$38,2))</f>
      </c>
      <c r="V41" s="433" t="s">
        <v>28</v>
      </c>
      <c r="W41" s="433"/>
      <c r="X41" s="433"/>
      <c r="Y41" s="433"/>
      <c r="Z41" s="433"/>
      <c r="AA41" s="433"/>
      <c r="AB41" s="131"/>
      <c r="AC41" s="131"/>
      <c r="AD41" s="131"/>
      <c r="AE41" s="132"/>
      <c r="AF41" s="133"/>
      <c r="AG41" s="134" t="s">
        <v>29</v>
      </c>
      <c r="AH41" s="135"/>
      <c r="AI41" s="135"/>
      <c r="AJ41" s="135"/>
    </row>
    <row r="42" spans="1:36" s="83" customFormat="1" ht="9" customHeight="1">
      <c r="A42" s="89"/>
      <c r="B42" s="90"/>
      <c r="C42" s="90"/>
      <c r="D42" s="109"/>
      <c r="E42" s="91"/>
      <c r="F42" s="91"/>
      <c r="G42" s="92"/>
      <c r="H42" s="91"/>
      <c r="I42" s="90"/>
      <c r="J42" s="93" t="s">
        <v>23</v>
      </c>
      <c r="K42" s="111" t="s">
        <v>24</v>
      </c>
      <c r="L42" s="95" t="str">
        <f>UPPER(IF(OR(K42="a",K42="as"),J40,IF(OR(K42="b",K42="bs"),J44,)))</f>
        <v>TURNŠEK</v>
      </c>
      <c r="M42" s="112"/>
      <c r="N42" s="113"/>
      <c r="O42" s="113"/>
      <c r="P42" s="80"/>
      <c r="Q42" s="81"/>
      <c r="R42" s="82"/>
      <c r="U42" s="30">
        <f>IF(OR(K42="a",K42="as"),$U$40,IF(OR(K42="b",K42="bs"),U44,""))</f>
        <v>7475</v>
      </c>
      <c r="V42" s="135"/>
      <c r="W42" s="133"/>
      <c r="X42" s="136"/>
      <c r="Y42" s="131"/>
      <c r="Z42" s="131"/>
      <c r="AA42" s="131"/>
      <c r="AB42" s="131"/>
      <c r="AC42" s="131"/>
      <c r="AD42" s="131"/>
      <c r="AE42" s="132"/>
      <c r="AF42" s="133"/>
      <c r="AG42" s="135"/>
      <c r="AH42" s="135"/>
      <c r="AI42" s="135"/>
      <c r="AJ42" s="135"/>
    </row>
    <row r="43" spans="1:36" s="83" customFormat="1" ht="9" customHeight="1">
      <c r="A43" s="89">
        <v>19</v>
      </c>
      <c r="B43" s="103">
        <f>UPPER(IF($D43="","",VLOOKUP($D43,'[1]ž kvalifikacije žrebna lista'!$A$7:$R$38,17)))</f>
      </c>
      <c r="C43" s="103">
        <f>IF($D43="","",VLOOKUP($D43,'[1]ž kvalifikacije žrebna lista'!$A$7:$R$38,2))</f>
      </c>
      <c r="D43" s="74"/>
      <c r="E43" s="104" t="s">
        <v>25</v>
      </c>
      <c r="F43" s="104">
        <f>PROPER(IF($D43="","",VLOOKUP($D43,'[1]ž kvalifikacije žrebna lista'!$A$7:$R$38,4)))</f>
      </c>
      <c r="G43" s="104"/>
      <c r="H43" s="104">
        <f>UPPER(IF($D43="","",VLOOKUP($D43,'[1]ž kvalifikacije žrebna lista'!$A$7:$R$38,5)))</f>
      </c>
      <c r="I43" s="206">
        <f>IF($D43="","",VLOOKUP($D43,'[1]ž kvalifikacije žrebna lista'!$A$7:$R$38,14))</f>
      </c>
      <c r="J43" s="76"/>
      <c r="K43" s="209"/>
      <c r="L43" s="106"/>
      <c r="M43" s="115"/>
      <c r="N43" s="115"/>
      <c r="O43" s="113"/>
      <c r="P43" s="80"/>
      <c r="Q43" s="81"/>
      <c r="R43" s="82"/>
      <c r="U43" s="30">
        <f>IF($D43="","",VLOOKUP($D43,'[1]ž kvalifikacije žrebna lista'!$A$7:$R$38,2))</f>
      </c>
      <c r="V43" s="137" t="s">
        <v>18</v>
      </c>
      <c r="W43" s="133" t="s">
        <v>14</v>
      </c>
      <c r="X43" s="133" t="s">
        <v>15</v>
      </c>
      <c r="Y43" s="131" t="s">
        <v>19</v>
      </c>
      <c r="Z43" s="131" t="s">
        <v>16</v>
      </c>
      <c r="AA43" s="131"/>
      <c r="AB43" s="131"/>
      <c r="AC43" s="131"/>
      <c r="AD43" s="131"/>
      <c r="AE43" s="138" t="s">
        <v>22</v>
      </c>
      <c r="AF43" s="133"/>
      <c r="AG43" s="133" t="s">
        <v>14</v>
      </c>
      <c r="AH43" s="133" t="s">
        <v>15</v>
      </c>
      <c r="AI43" s="134" t="s">
        <v>22</v>
      </c>
      <c r="AJ43" s="135"/>
    </row>
    <row r="44" spans="1:36" s="83" customFormat="1" ht="9" customHeight="1">
      <c r="A44" s="89"/>
      <c r="B44" s="90"/>
      <c r="C44" s="90"/>
      <c r="D44" s="109"/>
      <c r="E44" s="91"/>
      <c r="F44" s="91"/>
      <c r="G44" s="92"/>
      <c r="H44" s="93" t="s">
        <v>23</v>
      </c>
      <c r="I44" s="94"/>
      <c r="J44" s="95">
        <f>UPPER(IF(OR(I44="a",I44="as"),E43,IF(OR(I44="b",I44="bs"),E45,)))</f>
      </c>
      <c r="K44" s="210">
        <f>IF(OR(I44="a",I44="as"),I43,IF(OR(I44="b",I44="bs"),I45,))</f>
        <v>0</v>
      </c>
      <c r="L44" s="76"/>
      <c r="M44" s="115"/>
      <c r="N44" s="115"/>
      <c r="O44" s="113"/>
      <c r="P44" s="80"/>
      <c r="Q44" s="81"/>
      <c r="R44" s="82"/>
      <c r="U44" s="30">
        <f>IF(OR(I44="a",I44="as"),C43,IF(OR(I44="b",I44="bs"),C45,""))</f>
      </c>
      <c r="V44" s="133"/>
      <c r="W44" s="133"/>
      <c r="X44" s="133"/>
      <c r="Y44" s="131"/>
      <c r="Z44" s="131"/>
      <c r="AA44" s="131"/>
      <c r="AB44" s="131"/>
      <c r="AC44" s="131"/>
      <c r="AD44" s="131"/>
      <c r="AE44" s="138"/>
      <c r="AF44" s="133"/>
      <c r="AG44" s="135"/>
      <c r="AH44" s="135"/>
      <c r="AI44" s="139"/>
      <c r="AJ44" s="135"/>
    </row>
    <row r="45" spans="1:36" s="83" customFormat="1" ht="9" customHeight="1">
      <c r="A45" s="89">
        <v>20</v>
      </c>
      <c r="B45" s="103">
        <f>UPPER(IF($D45="","",VLOOKUP($D45,'[1]ž kvalifikacije žrebna lista'!$A$7:$R$38,17)))</f>
      </c>
      <c r="C45" s="103">
        <f>IF($D45="","",VLOOKUP($D45,'[1]ž kvalifikacije žrebna lista'!$A$7:$R$38,2))</f>
      </c>
      <c r="D45" s="74"/>
      <c r="E45" s="104" t="s">
        <v>25</v>
      </c>
      <c r="F45" s="104">
        <f>PROPER(IF($D45="","",VLOOKUP($D45,'[1]ž kvalifikacije žrebna lista'!$A$7:$R$38,4)))</f>
      </c>
      <c r="G45" s="104"/>
      <c r="H45" s="104">
        <f>UPPER(IF($D45="","",VLOOKUP($D45,'[1]ž kvalifikacije žrebna lista'!$A$7:$R$38,5)))</f>
      </c>
      <c r="I45" s="211">
        <f>IF($D45="","",VLOOKUP($D45,'[1]ž kvalifikacije žrebna lista'!$A$7:$R$38,14))</f>
      </c>
      <c r="J45" s="106"/>
      <c r="K45" s="77"/>
      <c r="L45" s="76"/>
      <c r="M45" s="115"/>
      <c r="N45" s="115"/>
      <c r="O45" s="113"/>
      <c r="P45" s="80"/>
      <c r="Q45" s="81"/>
      <c r="R45" s="82"/>
      <c r="U45" s="30">
        <f>IF($D45="","",VLOOKUP($D45,'[1]ž kvalifikacije žrebna lista'!$A$7:$R$38,2))</f>
      </c>
      <c r="V45" s="133">
        <v>1</v>
      </c>
      <c r="W45" s="140" t="str">
        <f>UPPER(IF($D$7="","",VLOOKUP($D$7,'[1]ž kvalifikacije žrebna lista'!$A$7:$R$38,3)))</f>
        <v>KLANEČEK</v>
      </c>
      <c r="X45" s="133" t="str">
        <f>PROPER(IF($D$7="","",VLOOKUP($D$7,'[1]ž kvalifikacije žrebna lista'!$A$7:$R$38,4)))</f>
        <v>Saša</v>
      </c>
      <c r="Y45" s="142" t="str">
        <f>IF($W$45="","",IF($U$7&lt;&gt;$U$8,"",IF(OR($J$9="bb",$J$9=""),"0",$I$9)))</f>
        <v>0</v>
      </c>
      <c r="Z45" s="131" t="str">
        <f>IF($W$45="","",IF($U$10&lt;&gt;$U$7,"",IF(OR($L$11="bb",$L$11=""),"0",$K$12)))</f>
        <v>0</v>
      </c>
      <c r="AA45" s="142"/>
      <c r="AB45" s="142"/>
      <c r="AC45" s="141"/>
      <c r="AD45" s="131"/>
      <c r="AE45" s="143">
        <f aca="true" t="shared" si="3" ref="AE45:AE76">IF($C$2="A turnir",SUM(Y45:AD45),SUM(Y45:AD45)*0.1)</f>
        <v>0</v>
      </c>
      <c r="AF45" s="133">
        <f>IF($C7="","",'ž kvalifikacije 32'!$C$7)</f>
        <v>6520</v>
      </c>
      <c r="AG45" s="133" t="str">
        <f>UPPER(IF($D$7="","",VLOOKUP($D$7,'[1]ž kvalifikacije žrebna lista'!$A$7:$R$38,3)))</f>
        <v>KLANEČEK</v>
      </c>
      <c r="AH45" s="133" t="str">
        <f>PROPER(IF($D$7="","",VLOOKUP($D$7,'[1]ž kvalifikacije žrebna lista'!$A$7:$R$38,4)))</f>
        <v>Saša</v>
      </c>
      <c r="AI45" s="143">
        <f aca="true" t="shared" si="4" ref="AI45:AI76">SUM(AE7,AE45)</f>
        <v>10</v>
      </c>
      <c r="AJ45" s="135"/>
    </row>
    <row r="46" spans="1:36" s="83" customFormat="1" ht="9" customHeight="1">
      <c r="A46" s="72"/>
      <c r="B46" s="90"/>
      <c r="C46" s="90"/>
      <c r="D46" s="109"/>
      <c r="E46" s="76"/>
      <c r="F46" s="76"/>
      <c r="G46" s="120"/>
      <c r="H46" s="121"/>
      <c r="I46" s="90"/>
      <c r="J46" s="76"/>
      <c r="K46" s="77"/>
      <c r="L46" s="76"/>
      <c r="M46" s="213"/>
      <c r="N46" s="123">
        <f>UPPER(IF(OR(M46="a",M46="as"),L42,IF(OR(M46="b",M46="bs"),L50,)))</f>
      </c>
      <c r="O46" s="115"/>
      <c r="P46" s="80"/>
      <c r="Q46" s="81"/>
      <c r="R46" s="82"/>
      <c r="U46" s="30"/>
      <c r="V46" s="133">
        <v>2</v>
      </c>
      <c r="W46" s="133">
        <f>UPPER(IF($D$9="","",VLOOKUP($D$9,'[1]ž kvalifikacije žrebna lista'!$A$7:$R$38,3)))</f>
      </c>
      <c r="X46" s="133">
        <f>PROPER(IF($D$9="","",VLOOKUP($D$9,'[1]ž kvalifikacije žrebna lista'!$A$7:$R$38,4)))</f>
      </c>
      <c r="Y46" s="131">
        <f>IF(W46="","",IF($U$9&lt;&gt;$U$8,"",IF(OR($J$9="bb",$J$9=""),"0",$I$7)))</f>
      </c>
      <c r="Z46" s="131">
        <f>IF($W$45="","",IF($U$10&lt;&gt;$U$9,"",IF(OR($L$11="bb",$L$11=""),"0",$K$12)))</f>
      </c>
      <c r="AA46" s="131"/>
      <c r="AB46" s="131"/>
      <c r="AC46" s="131"/>
      <c r="AD46" s="131"/>
      <c r="AE46" s="143">
        <f t="shared" si="3"/>
        <v>0</v>
      </c>
      <c r="AF46" s="133">
        <f>IF($C9="","",'ž kvalifikacije 32'!$C$7)</f>
      </c>
      <c r="AG46" s="133">
        <f>UPPER(IF($D$9="","",VLOOKUP($D$9,'[1]ž kvalifikacije žrebna lista'!$A$7:$R$38,3)))</f>
      </c>
      <c r="AH46" s="133">
        <f>PROPER(IF($D$9="","",VLOOKUP($D$9,'[1]ž kvalifikacije žrebna lista'!$A$7:$R$38,4)))</f>
      </c>
      <c r="AI46" s="143">
        <f t="shared" si="4"/>
        <v>0</v>
      </c>
      <c r="AJ46" s="135"/>
    </row>
    <row r="47" spans="1:36" s="83" customFormat="1" ht="9" customHeight="1">
      <c r="A47" s="72">
        <v>21</v>
      </c>
      <c r="B47" s="73">
        <f>UPPER(IF($D47="","",VLOOKUP($D47,'[1]ž kvalifikacije žrebna lista'!$A$7:$R$38,17)))</f>
      </c>
      <c r="C47" s="73">
        <f>IF($D47="","",VLOOKUP($D47,'[1]ž kvalifikacije žrebna lista'!$A$7:$R$38,2))</f>
      </c>
      <c r="D47" s="74"/>
      <c r="E47" s="104" t="s">
        <v>25</v>
      </c>
      <c r="F47" s="73">
        <f>PROPER(IF($D47="","",VLOOKUP($D47,'[1]ž kvalifikacije žrebna lista'!$A$7:$R$38,4)))</f>
      </c>
      <c r="G47" s="73"/>
      <c r="H47" s="73">
        <f>UPPER(IF($D47="","",VLOOKUP($D47,'[1]ž kvalifikacije žrebna lista'!$A$7:$R$38,5)))</f>
      </c>
      <c r="I47" s="212">
        <f>IF($D47="","",VLOOKUP($D47,'[1]ž kvalifikacije žrebna lista'!$A$7:$R$38,14))</f>
      </c>
      <c r="J47" s="76"/>
      <c r="K47" s="77"/>
      <c r="L47" s="76"/>
      <c r="M47" s="115"/>
      <c r="N47" s="123"/>
      <c r="O47" s="113"/>
      <c r="P47" s="80"/>
      <c r="Q47" s="81"/>
      <c r="R47" s="82"/>
      <c r="U47" s="30">
        <f>IF($D47="","",VLOOKUP($D47,'[1]ž kvalifikacije žrebna lista'!$A$7:$R$38,2))</f>
      </c>
      <c r="V47" s="133">
        <v>3</v>
      </c>
      <c r="W47" s="133">
        <f>UPPER(IF($D$11="","",VLOOKUP($D$11,'[1]ž kvalifikacije žrebna lista'!$A$7:$R$38,3)))</f>
      </c>
      <c r="X47" s="133">
        <f>PROPER(IF($D$11="","",VLOOKUP($D$11,'[1]ž kvalifikacije žrebna lista'!$A$7:$R$38,4)))</f>
      </c>
      <c r="Y47" s="131">
        <f>IF(W47="","",IF($U$11&lt;&gt;$U$12,"",IF(OR($J$13="bb",$J$13=""),"0",$I$13)))</f>
      </c>
      <c r="Z47" s="131">
        <f>IF($W$45="","",IF($U$10&lt;&gt;$U$11,"",IF(OR($L$11="bb",$L$11=""),"0",$K$8)))</f>
      </c>
      <c r="AA47" s="131"/>
      <c r="AB47" s="131"/>
      <c r="AC47" s="131"/>
      <c r="AD47" s="131"/>
      <c r="AE47" s="143">
        <f t="shared" si="3"/>
        <v>0</v>
      </c>
      <c r="AF47" s="133">
        <f>IF($C11="","",'ž kvalifikacije 32'!$C$7)</f>
      </c>
      <c r="AG47" s="133">
        <f>UPPER(IF($D$11="","",VLOOKUP($D$11,'[1]ž kvalifikacije žrebna lista'!$A$7:$R$38,3)))</f>
      </c>
      <c r="AH47" s="133">
        <f>PROPER(IF($D$11="","",VLOOKUP($D$11,'[1]ž kvalifikacije žrebna lista'!$A$7:$R$38,4)))</f>
      </c>
      <c r="AI47" s="143">
        <f t="shared" si="4"/>
        <v>0</v>
      </c>
      <c r="AJ47" s="135"/>
    </row>
    <row r="48" spans="1:36" s="83" customFormat="1" ht="9" customHeight="1">
      <c r="A48" s="89"/>
      <c r="B48" s="90"/>
      <c r="C48" s="90"/>
      <c r="D48" s="109"/>
      <c r="E48" s="91"/>
      <c r="F48" s="91"/>
      <c r="G48" s="92"/>
      <c r="H48" s="93" t="s">
        <v>23</v>
      </c>
      <c r="I48" s="94" t="s">
        <v>26</v>
      </c>
      <c r="J48" s="95" t="str">
        <f>UPPER(IF(OR(I48="a",I48="as"),E47,IF(OR(I48="b",I48="bs"),E49,)))</f>
        <v>MAKAROVIČ</v>
      </c>
      <c r="K48" s="104">
        <f>IF(OR(I48="a",I48="as"),I47,IF(OR(I48="b",I48="bs"),I49,))</f>
        <v>10</v>
      </c>
      <c r="L48" s="76"/>
      <c r="M48" s="115"/>
      <c r="N48" s="115"/>
      <c r="O48" s="113"/>
      <c r="P48" s="80"/>
      <c r="Q48" s="81"/>
      <c r="R48" s="82"/>
      <c r="U48" s="30">
        <f>IF(OR(I48="a",I48="as"),C47,IF(OR(I48="b",I48="bs"),C49,""))</f>
        <v>6916</v>
      </c>
      <c r="V48" s="133">
        <v>4</v>
      </c>
      <c r="W48" s="133">
        <f>UPPER(IF($D$13="","",VLOOKUP($D$13,'[1]ž kvalifikacije žrebna lista'!$A$7:$R$38,3)))</f>
      </c>
      <c r="X48" s="133">
        <f>PROPER(IF($D$13="","",VLOOKUP($D$13,'[1]ž kvalifikacije žrebna lista'!$A$7:$R$38,4)))</f>
      </c>
      <c r="Y48" s="131">
        <f>IF(W48="","",IF($U$12&lt;&gt;$U$13,"",IF(OR($J$13="bb",$J$13=""),"0",$I$11)))</f>
      </c>
      <c r="Z48" s="131">
        <f>IF($W$45="","",IF($U$10&lt;&gt;$U$13,"",IF(OR($L$11="bb",$L$11=""),"0",$K$8)))</f>
      </c>
      <c r="AA48" s="131"/>
      <c r="AB48" s="131"/>
      <c r="AC48" s="131"/>
      <c r="AD48" s="131"/>
      <c r="AE48" s="143">
        <f t="shared" si="3"/>
        <v>0</v>
      </c>
      <c r="AF48" s="133">
        <f>IF($C13="","",'ž kvalifikacije 32'!$C$7)</f>
      </c>
      <c r="AG48" s="133">
        <f>UPPER(IF($D$13="","",VLOOKUP($D$13,'[1]ž kvalifikacije žrebna lista'!$A$7:$R$38,3)))</f>
      </c>
      <c r="AH48" s="133">
        <f>PROPER(IF($D$13="","",VLOOKUP($D$13,'[1]ž kvalifikacije žrebna lista'!$A$7:$R$38,4)))</f>
      </c>
      <c r="AI48" s="143">
        <f t="shared" si="4"/>
        <v>0</v>
      </c>
      <c r="AJ48" s="135"/>
    </row>
    <row r="49" spans="1:36" s="83" customFormat="1" ht="9" customHeight="1">
      <c r="A49" s="89">
        <v>22</v>
      </c>
      <c r="B49" s="103" t="str">
        <f>UPPER(IF($D49="","",VLOOKUP($D49,'[1]ž kvalifikacije žrebna lista'!$A$7:$R$38,17)))</f>
        <v>D</v>
      </c>
      <c r="C49" s="103">
        <f>IF($D49="","",VLOOKUP($D49,'[1]ž kvalifikacije žrebna lista'!$A$7:$R$38,2))</f>
        <v>6916</v>
      </c>
      <c r="D49" s="74">
        <v>6</v>
      </c>
      <c r="E49" s="104" t="str">
        <f>UPPER(IF($D49="","",VLOOKUP($D49,'[1]ž kvalifikacije žrebna lista'!$A$7:$R$38,3)))</f>
        <v>MAKAROVIČ</v>
      </c>
      <c r="F49" s="104" t="str">
        <f>PROPER(IF($D49="","",VLOOKUP($D49,'[1]ž kvalifikacije žrebna lista'!$A$7:$R$38,4)))</f>
        <v>Anika</v>
      </c>
      <c r="G49" s="104"/>
      <c r="H49" s="104" t="str">
        <f>UPPER(IF($D49="","",VLOOKUP($D49,'[1]ž kvalifikacije žrebna lista'!$A$7:$R$38,5)))</f>
        <v>MAJA</v>
      </c>
      <c r="I49" s="207">
        <f>IF($D49="","",VLOOKUP($D49,'[1]ž kvalifikacije žrebna lista'!$A$7:$R$38,14))</f>
        <v>10</v>
      </c>
      <c r="J49" s="106"/>
      <c r="K49" s="208"/>
      <c r="L49" s="76"/>
      <c r="M49" s="115"/>
      <c r="N49" s="115"/>
      <c r="O49" s="113"/>
      <c r="P49" s="80"/>
      <c r="Q49" s="81"/>
      <c r="R49" s="82"/>
      <c r="U49" s="30">
        <f>IF($D49="","",VLOOKUP($D49,'[1]ž kvalifikacije žrebna lista'!$A$7:$R$38,2))</f>
        <v>6916</v>
      </c>
      <c r="V49" s="133">
        <v>5</v>
      </c>
      <c r="W49" s="133" t="str">
        <f>UPPER(IF($D$15="","",VLOOKUP($D$15,'[1]ž kvalifikacije žrebna lista'!$A$7:$R$38,3)))</f>
        <v>FIŠER</v>
      </c>
      <c r="X49" s="133" t="str">
        <f>PROPER(IF($D$15="","",VLOOKUP($D$15,'[1]ž kvalifikacije žrebna lista'!$A$7:$R$38,4)))</f>
        <v>Eva</v>
      </c>
      <c r="Y49" s="131" t="str">
        <f>IF(W49="","",IF($U$16&lt;&gt;$U$15,"",IF(OR($J$17="bb",$J$17=""),"0",$I$17)))</f>
        <v>0</v>
      </c>
      <c r="Z49" s="131" t="str">
        <f>IF($W$45="","",IF($U$18&lt;&gt;$U$15,"",IF(OR($L$19="bb",$L$19=""),"0",$K$20)))</f>
        <v>0</v>
      </c>
      <c r="AA49" s="131"/>
      <c r="AB49" s="131"/>
      <c r="AC49" s="131"/>
      <c r="AD49" s="131"/>
      <c r="AE49" s="143">
        <f t="shared" si="3"/>
        <v>0</v>
      </c>
      <c r="AF49" s="133">
        <f>IF($C15="","",'ž kvalifikacije 32'!$C$7)</f>
        <v>6520</v>
      </c>
      <c r="AG49" s="133" t="str">
        <f>UPPER(IF($D$15="","",VLOOKUP($D$15,'[1]ž kvalifikacije žrebna lista'!$A$7:$R$38,3)))</f>
        <v>FIŠER</v>
      </c>
      <c r="AH49" s="133" t="str">
        <f>PROPER(IF($D$15="","",VLOOKUP($D$15,'[1]ž kvalifikacije žrebna lista'!$A$7:$R$38,4)))</f>
        <v>Eva</v>
      </c>
      <c r="AI49" s="143">
        <f t="shared" si="4"/>
        <v>10</v>
      </c>
      <c r="AJ49" s="135"/>
    </row>
    <row r="50" spans="1:36" s="83" customFormat="1" ht="9" customHeight="1">
      <c r="A50" s="89"/>
      <c r="B50" s="90"/>
      <c r="C50" s="90"/>
      <c r="D50" s="109"/>
      <c r="E50" s="91"/>
      <c r="F50" s="91"/>
      <c r="G50" s="92"/>
      <c r="H50" s="76"/>
      <c r="I50" s="90"/>
      <c r="J50" s="93" t="s">
        <v>23</v>
      </c>
      <c r="K50" s="111" t="s">
        <v>27</v>
      </c>
      <c r="L50" s="95" t="str">
        <f>UPPER(IF(OR(K50="a",K50="as"),J48,IF(OR(K50="b",K50="bs"),J52,)))</f>
        <v>MAKAROVIČ</v>
      </c>
      <c r="M50" s="112"/>
      <c r="N50" s="115"/>
      <c r="O50" s="113"/>
      <c r="P50" s="80"/>
      <c r="Q50" s="81"/>
      <c r="R50" s="82"/>
      <c r="U50" s="30">
        <f>IF(OR(K50="a",K50="as"),$U$48,IF(OR(K50="b",K50="bs"),U52,""))</f>
        <v>6916</v>
      </c>
      <c r="V50" s="133">
        <v>6</v>
      </c>
      <c r="W50" s="133">
        <f>UPPER(IF($D$17="","",VLOOKUP($D$17,'[1]ž kvalifikacije žrebna lista'!$A$7:$R$38,3)))</f>
      </c>
      <c r="X50" s="133">
        <f>PROPER(IF($D$17="","",VLOOKUP($D$17,'[1]ž kvalifikacije žrebna lista'!$A$7:$R$38,4)))</f>
      </c>
      <c r="Y50" s="131">
        <f>IF(W50="","",IF($U$16&lt;&gt;$U$17,"",IF(OR($J$17="bb",$J$17=""),"0",$I$15)))</f>
      </c>
      <c r="Z50" s="131">
        <f>IF($W$45="","",IF($U$18&lt;&gt;$U$17,"",IF(OR($L$19="bb",$L$19=""),"0",$K$20)))</f>
      </c>
      <c r="AA50" s="131"/>
      <c r="AB50" s="131"/>
      <c r="AC50" s="131"/>
      <c r="AD50" s="131"/>
      <c r="AE50" s="143">
        <f t="shared" si="3"/>
        <v>0</v>
      </c>
      <c r="AF50" s="133">
        <f>IF($C17="","",'ž kvalifikacije 32'!$C$7)</f>
      </c>
      <c r="AG50" s="133">
        <f>UPPER(IF($D$17="","",VLOOKUP($D$17,'[1]ž kvalifikacije žrebna lista'!$A$7:$R$38,3)))</f>
      </c>
      <c r="AH50" s="133">
        <f>PROPER(IF($D$17="","",VLOOKUP($D$17,'[1]ž kvalifikacije žrebna lista'!$A$7:$R$38,4)))</f>
      </c>
      <c r="AI50" s="143">
        <f t="shared" si="4"/>
        <v>0</v>
      </c>
      <c r="AJ50" s="135"/>
    </row>
    <row r="51" spans="1:36" s="83" customFormat="1" ht="9" customHeight="1">
      <c r="A51" s="89">
        <v>23</v>
      </c>
      <c r="B51" s="103">
        <f>UPPER(IF($D51="","",VLOOKUP($D51,'[1]ž kvalifikacije žrebna lista'!$A$7:$R$38,17)))</f>
      </c>
      <c r="C51" s="103">
        <f>IF($D51="","",VLOOKUP($D51,'[1]ž kvalifikacije žrebna lista'!$A$7:$R$38,2))</f>
      </c>
      <c r="D51" s="74"/>
      <c r="E51" s="104" t="s">
        <v>25</v>
      </c>
      <c r="F51" s="104">
        <f>PROPER(IF($D51="","",VLOOKUP($D51,'[1]ž kvalifikacije žrebna lista'!$A$7:$R$38,4)))</f>
      </c>
      <c r="G51" s="104"/>
      <c r="H51" s="104">
        <f>UPPER(IF($D51="","",VLOOKUP($D51,'[1]ž kvalifikacije žrebna lista'!$A$7:$R$38,5)))</f>
      </c>
      <c r="I51" s="206">
        <f>IF($D51="","",VLOOKUP($D51,'[1]ž kvalifikacije žrebna lista'!$A$7:$R$38,14))</f>
      </c>
      <c r="J51" s="76"/>
      <c r="K51" s="209"/>
      <c r="L51" s="106"/>
      <c r="M51" s="113"/>
      <c r="N51" s="113"/>
      <c r="O51" s="113"/>
      <c r="P51" s="80"/>
      <c r="Q51" s="81"/>
      <c r="R51" s="82"/>
      <c r="U51" s="30">
        <f>IF($D51="","",VLOOKUP($D51,'[1]ž kvalifikacije žrebna lista'!$A$7:$R$38,2))</f>
      </c>
      <c r="V51" s="133">
        <v>7</v>
      </c>
      <c r="W51" s="133">
        <f>UPPER(IF($D$19="","",VLOOKUP($D$19,'[1]ž kvalifikacije žrebna lista'!$A$7:$R$38,3)))</f>
      </c>
      <c r="X51" s="133">
        <f>PROPER(IF($D$19="","",VLOOKUP($D$19,'[1]ž kvalifikacije žrebna lista'!$A$7:$R$38,4)))</f>
      </c>
      <c r="Y51" s="131">
        <f>IF(W51="","",IF($U$20&lt;&gt;$U$19,"",IF(OR($J$21="bb",$J$21=""),"0",$I$21)))</f>
      </c>
      <c r="Z51" s="131">
        <f>IF($W$45="","",IF($U$18&lt;&gt;$U$19,"",IF(OR($L$19="bb",$L$19=""),"0",$K$16)))</f>
      </c>
      <c r="AA51" s="131"/>
      <c r="AB51" s="131"/>
      <c r="AC51" s="131"/>
      <c r="AD51" s="131"/>
      <c r="AE51" s="143">
        <f t="shared" si="3"/>
        <v>0</v>
      </c>
      <c r="AF51" s="133">
        <f>IF($C19="","",'ž kvalifikacije 32'!$C$7)</f>
      </c>
      <c r="AG51" s="133">
        <f>UPPER(IF($D$19="","",VLOOKUP($D$19,'[1]ž kvalifikacije žrebna lista'!$A$7:$R$38,3)))</f>
      </c>
      <c r="AH51" s="133">
        <f>PROPER(IF($D$19="","",VLOOKUP($D$19,'[1]ž kvalifikacije žrebna lista'!$A$7:$R$38,4)))</f>
      </c>
      <c r="AI51" s="143">
        <f t="shared" si="4"/>
        <v>0</v>
      </c>
      <c r="AJ51" s="135"/>
    </row>
    <row r="52" spans="1:36" s="83" customFormat="1" ht="9" customHeight="1">
      <c r="A52" s="89"/>
      <c r="B52" s="90"/>
      <c r="C52" s="90"/>
      <c r="D52" s="90"/>
      <c r="E52" s="91"/>
      <c r="F52" s="91"/>
      <c r="G52" s="92"/>
      <c r="H52" s="93" t="s">
        <v>23</v>
      </c>
      <c r="I52" s="94"/>
      <c r="J52" s="95">
        <f>UPPER(IF(OR(I52="a",I52="as"),E51,IF(OR(I52="b",I52="bs"),E53,)))</f>
      </c>
      <c r="K52" s="210">
        <f>IF(OR(I52="a",I52="as"),I51,IF(OR(I52="b",I52="bs"),I53,))</f>
        <v>0</v>
      </c>
      <c r="L52" s="76"/>
      <c r="M52" s="113"/>
      <c r="N52" s="113"/>
      <c r="O52" s="113"/>
      <c r="P52" s="80"/>
      <c r="Q52" s="81"/>
      <c r="R52" s="82"/>
      <c r="U52" s="30">
        <f>IF(OR(I52="a",I52="as"),C51,IF(OR(I52="b",I52="bs"),C53,""))</f>
      </c>
      <c r="V52" s="133">
        <v>8</v>
      </c>
      <c r="W52" s="133">
        <f>UPPER(IF($D$21="","",VLOOKUP($D$21,'[1]ž kvalifikacije žrebna lista'!$A$7:$R$38,3)))</f>
      </c>
      <c r="X52" s="133">
        <f>PROPER(IF($D$21="","",VLOOKUP($D$21,'[1]ž kvalifikacije žrebna lista'!$A$7:$R$38,4)))</f>
      </c>
      <c r="Y52" s="131">
        <f>IF(W52="","",IF($U$20&lt;&gt;$U$21,"",IF(OR($J$21="bb",$J$21=""),"0",$I$19)))</f>
      </c>
      <c r="Z52" s="131">
        <f>IF($W$45="","",IF($U$18&lt;&gt;$U$21,"",IF(OR($L$19="bb",$L$19=""),"0",$K$16)))</f>
      </c>
      <c r="AA52" s="131"/>
      <c r="AB52" s="131"/>
      <c r="AC52" s="131"/>
      <c r="AD52" s="131"/>
      <c r="AE52" s="143">
        <f t="shared" si="3"/>
        <v>0</v>
      </c>
      <c r="AF52" s="133">
        <f>IF($C21="","",'ž kvalifikacije 32'!$C$7)</f>
      </c>
      <c r="AG52" s="133">
        <f>UPPER(IF($D$21="","",VLOOKUP($D$21,'[1]ž kvalifikacije žrebna lista'!$A$7:$R$38,3)))</f>
      </c>
      <c r="AH52" s="133">
        <f>PROPER(IF($D$21="","",VLOOKUP($D$21,'[1]ž kvalifikacije žrebna lista'!$A$7:$R$38,4)))</f>
      </c>
      <c r="AI52" s="143">
        <f t="shared" si="4"/>
        <v>0</v>
      </c>
      <c r="AJ52" s="135"/>
    </row>
    <row r="53" spans="1:36" s="83" customFormat="1" ht="9" customHeight="1">
      <c r="A53" s="89">
        <v>24</v>
      </c>
      <c r="B53" s="103">
        <f>UPPER(IF($D53="","",VLOOKUP($D53,'[1]ž kvalifikacije žrebna lista'!$A$7:$R$38,17)))</f>
      </c>
      <c r="C53" s="103">
        <f>IF($D53="","",VLOOKUP($D53,'[1]ž kvalifikacije žrebna lista'!$A$7:$R$38,2))</f>
      </c>
      <c r="D53" s="74"/>
      <c r="E53" s="104" t="s">
        <v>25</v>
      </c>
      <c r="F53" s="73">
        <f>PROPER(IF($D53="","",VLOOKUP($D53,'[1]ž kvalifikacije žrebna lista'!$A$7:$R$38,4)))</f>
      </c>
      <c r="G53" s="73"/>
      <c r="H53" s="73">
        <f>UPPER(IF($D53="","",VLOOKUP($D53,'[1]ž kvalifikacije žrebna lista'!$A$7:$R$38,5)))</f>
      </c>
      <c r="I53" s="211">
        <f>IF($D53="","",VLOOKUP($D53,'[1]ž kvalifikacije žrebna lista'!$A$7:$R$38,14))</f>
      </c>
      <c r="J53" s="106"/>
      <c r="K53" s="77"/>
      <c r="L53" s="76"/>
      <c r="M53" s="113"/>
      <c r="N53" s="113"/>
      <c r="O53" s="113"/>
      <c r="P53" s="80"/>
      <c r="Q53" s="81"/>
      <c r="R53" s="82"/>
      <c r="U53" s="30">
        <f>IF($D53="","",VLOOKUP($D53,'[1]ž kvalifikacije žrebna lista'!$A$7:$R$38,2))</f>
      </c>
      <c r="V53" s="133">
        <v>9</v>
      </c>
      <c r="W53" s="133" t="str">
        <f>UPPER(IF($D$23="","",VLOOKUP($D$23,'[1]ž kvalifikacije žrebna lista'!$A$7:$R$38,3)))</f>
        <v>ZUKIČ</v>
      </c>
      <c r="X53" s="133" t="str">
        <f>PROPER(IF($D$23="","",VLOOKUP($D$23,'[1]ž kvalifikacije žrebna lista'!$A$7:$R$38,4)))</f>
        <v>Sandra</v>
      </c>
      <c r="Y53" s="131" t="str">
        <f>IF(W53="","",IF($U$24&lt;&gt;$U$23,"",IF(OR($J$25="bb",$J$25=""),"0",$I$25)))</f>
        <v>0</v>
      </c>
      <c r="Z53" s="131">
        <f>IF($W$45="","",IF($U$26&lt;&gt;$U$23,"",IF(OR($L$27="bb",$L$27=""),"0",$K$28)))</f>
      </c>
      <c r="AA53" s="131"/>
      <c r="AB53" s="131"/>
      <c r="AC53" s="131"/>
      <c r="AD53" s="131"/>
      <c r="AE53" s="143">
        <f t="shared" si="3"/>
        <v>0</v>
      </c>
      <c r="AF53" s="133">
        <f>IF($C23="","",'ž kvalifikacije 32'!$C$7)</f>
        <v>6520</v>
      </c>
      <c r="AG53" s="133" t="str">
        <f>UPPER(IF($D$23="","",VLOOKUP($D$23,'[1]ž kvalifikacije žrebna lista'!$A$7:$R$38,3)))</f>
        <v>ZUKIČ</v>
      </c>
      <c r="AH53" s="133" t="str">
        <f>PROPER(IF($D$23="","",VLOOKUP($D$23,'[1]ž kvalifikacije žrebna lista'!$A$7:$R$38,4)))</f>
        <v>Sandra</v>
      </c>
      <c r="AI53" s="143">
        <f t="shared" si="4"/>
        <v>8</v>
      </c>
      <c r="AJ53" s="135"/>
    </row>
    <row r="54" spans="1:36" s="83" customFormat="1" ht="9" customHeight="1">
      <c r="A54" s="89"/>
      <c r="B54" s="90"/>
      <c r="C54" s="90"/>
      <c r="D54" s="90"/>
      <c r="E54" s="121"/>
      <c r="F54" s="121"/>
      <c r="G54" s="126"/>
      <c r="H54" s="121"/>
      <c r="I54" s="90"/>
      <c r="J54" s="76"/>
      <c r="K54" s="77"/>
      <c r="L54" s="76"/>
      <c r="M54" s="113"/>
      <c r="N54" s="113"/>
      <c r="O54" s="113"/>
      <c r="P54" s="80"/>
      <c r="Q54" s="81"/>
      <c r="R54" s="82"/>
      <c r="U54" s="30"/>
      <c r="V54" s="133">
        <v>10</v>
      </c>
      <c r="W54" s="133">
        <f>UPPER(IF($D$25="","",VLOOKUP($D$25,'[1]ž kvalifikacije žrebna lista'!$A$7:$R$38,3)))</f>
      </c>
      <c r="X54" s="133">
        <f>PROPER(IF($D$25="","",VLOOKUP($D$25,'[1]ž kvalifikacije žrebna lista'!$A$7:$R$38,4)))</f>
      </c>
      <c r="Y54" s="131">
        <f>IF(W54="","",IF($U$24&lt;&gt;$U$25,"",IF(OR($J$25="bb",$J$25=""),"0",$I$23)))</f>
      </c>
      <c r="Z54" s="131" t="str">
        <f>IF($W$45="","",IF($U$26&lt;&gt;$U$25,"",IF(OR($L$27="bb",$L$27=""),"0",$K$28)))</f>
        <v>0</v>
      </c>
      <c r="AA54" s="131"/>
      <c r="AB54" s="131"/>
      <c r="AC54" s="131"/>
      <c r="AD54" s="131"/>
      <c r="AE54" s="143">
        <f t="shared" si="3"/>
        <v>0</v>
      </c>
      <c r="AF54" s="133">
        <f>IF($C25="","",'ž kvalifikacije 32'!$C$7)</f>
      </c>
      <c r="AG54" s="133">
        <f>UPPER(IF($D$25="","",VLOOKUP($D$25,'[1]ž kvalifikacije žrebna lista'!$A$7:$R$38,3)))</f>
      </c>
      <c r="AH54" s="133">
        <f>PROPER(IF($D$25="","",VLOOKUP($D$25,'[1]ž kvalifikacije žrebna lista'!$A$7:$R$38,4)))</f>
      </c>
      <c r="AI54" s="143">
        <f t="shared" si="4"/>
        <v>0</v>
      </c>
      <c r="AJ54" s="135"/>
    </row>
    <row r="55" spans="1:36" s="83" customFormat="1" ht="9" customHeight="1">
      <c r="A55" s="72">
        <v>25</v>
      </c>
      <c r="B55" s="73">
        <f>UPPER(IF($D55="","",VLOOKUP($D55,'[1]ž kvalifikacije žrebna lista'!$A$7:$R$38,17)))</f>
      </c>
      <c r="C55" s="73">
        <f>IF($D55="","",VLOOKUP($D55,'[1]ž kvalifikacije žrebna lista'!$A$7:$R$38,2))</f>
      </c>
      <c r="D55" s="74"/>
      <c r="E55" s="104" t="s">
        <v>25</v>
      </c>
      <c r="F55" s="73">
        <f>PROPER(IF($D55="","",VLOOKUP($D55,'[1]ž kvalifikacije žrebna lista'!$A$7:$R$38,4)))</f>
      </c>
      <c r="G55" s="73"/>
      <c r="H55" s="73">
        <f>UPPER(IF($D55="","",VLOOKUP($D55,'[1]ž kvalifikacije žrebna lista'!$A$7:$R$38,5)))</f>
      </c>
      <c r="I55" s="206">
        <f>IF($D55="","",VLOOKUP($D55,'[1]ž kvalifikacije žrebna lista'!$A$7:$R$38,14))</f>
      </c>
      <c r="J55" s="76"/>
      <c r="K55" s="77"/>
      <c r="L55" s="76"/>
      <c r="M55" s="113"/>
      <c r="N55" s="113"/>
      <c r="O55" s="113"/>
      <c r="P55" s="80"/>
      <c r="Q55" s="81"/>
      <c r="R55" s="82"/>
      <c r="U55" s="30">
        <f>IF($D55="","",VLOOKUP($D55,'[1]ž kvalifikacije žrebna lista'!$A$7:$R$38,2))</f>
      </c>
      <c r="V55" s="133">
        <v>11</v>
      </c>
      <c r="W55" s="133">
        <f>UPPER(IF($D$27="","",VLOOKUP($D$27,'[1]ž kvalifikacije žrebna lista'!$A$7:$R$38,3)))</f>
      </c>
      <c r="X55" s="133">
        <f>PROPER(IF($D$27="","",VLOOKUP($D$27,'[1]ž kvalifikacije žrebna lista'!$A$7:$R$38,4)))</f>
      </c>
      <c r="Y55" s="131">
        <f>IF(W55="","",IF($U$28&lt;&gt;$U$27,"",IF(OR($J$29="bb",$J$29=""),"0",$I$29)))</f>
      </c>
      <c r="Z55" s="131" t="str">
        <f>IF($W$45="","",IF($U$26&lt;&gt;$U$27,"",IF(OR($L$27="bb",$L$27=""),"0",$K$24)))</f>
        <v>0</v>
      </c>
      <c r="AA55" s="131"/>
      <c r="AB55" s="131"/>
      <c r="AC55" s="131"/>
      <c r="AD55" s="131"/>
      <c r="AE55" s="143">
        <f t="shared" si="3"/>
        <v>0</v>
      </c>
      <c r="AF55" s="133">
        <f>IF($C27="","",'ž kvalifikacije 32'!$C$7)</f>
      </c>
      <c r="AG55" s="133">
        <f>UPPER(IF($D$27="","",VLOOKUP($D$27,'[1]ž kvalifikacije žrebna lista'!$A$7:$R$38,3)))</f>
      </c>
      <c r="AH55" s="133">
        <f>PROPER(IF($D$27="","",VLOOKUP($D$27,'[1]ž kvalifikacije žrebna lista'!$A$7:$R$38,4)))</f>
      </c>
      <c r="AI55" s="143">
        <f t="shared" si="4"/>
        <v>0</v>
      </c>
      <c r="AJ55" s="135"/>
    </row>
    <row r="56" spans="1:36" s="83" customFormat="1" ht="9" customHeight="1">
      <c r="A56" s="89"/>
      <c r="B56" s="90"/>
      <c r="C56" s="90"/>
      <c r="D56" s="90"/>
      <c r="E56" s="91"/>
      <c r="F56" s="91"/>
      <c r="G56" s="92"/>
      <c r="H56" s="93" t="s">
        <v>23</v>
      </c>
      <c r="I56" s="94" t="s">
        <v>26</v>
      </c>
      <c r="J56" s="95" t="str">
        <f>UPPER(IF(OR(I56="a",I56="as"),E55,IF(OR(I56="b",I56="bs"),E57,)))</f>
        <v>MERVIČ</v>
      </c>
      <c r="K56" s="104">
        <f>IF(OR(I56="a",I56="as"),I55,IF(OR(I56="b",I56="bs"),I57,))</f>
        <v>10</v>
      </c>
      <c r="L56" s="76"/>
      <c r="M56" s="113"/>
      <c r="N56" s="113"/>
      <c r="O56" s="113"/>
      <c r="P56" s="80"/>
      <c r="Q56" s="81"/>
      <c r="R56" s="82"/>
      <c r="U56" s="30">
        <f>IF(OR(I56="a",I56="as"),C55,IF(OR(I56="b",I56="bs"),C57,""))</f>
        <v>7343</v>
      </c>
      <c r="V56" s="133">
        <v>12</v>
      </c>
      <c r="W56" s="133">
        <f>UPPER(IF($D$29="","",VLOOKUP($D$29,'[1]ž kvalifikacije žrebna lista'!$A$7:$R$38,3)))</f>
      </c>
      <c r="X56" s="133">
        <f>PROPER(IF($D$29="","",VLOOKUP($D$29,'[1]ž kvalifikacije žrebna lista'!$A$7:$R$38,4)))</f>
      </c>
      <c r="Y56" s="131">
        <f>IF(W56="","",IF($U$28&lt;&gt;$U$29,"",IF(OR($J$29="bb",$J$29=""),"0",$I$27)))</f>
      </c>
      <c r="Z56" s="131" t="str">
        <f>IF($W$45="","",IF($U$26&lt;&gt;$U$29,"",IF(OR($L$27="bb",$L$27=""),"0",$K$24)))</f>
        <v>0</v>
      </c>
      <c r="AA56" s="131"/>
      <c r="AB56" s="131"/>
      <c r="AC56" s="131"/>
      <c r="AD56" s="131"/>
      <c r="AE56" s="143">
        <f t="shared" si="3"/>
        <v>0</v>
      </c>
      <c r="AF56" s="133">
        <f>IF($C29="","",'ž kvalifikacije 32'!$C$7)</f>
      </c>
      <c r="AG56" s="133">
        <f>UPPER(IF($D$29="","",VLOOKUP($D$29,'[1]ž kvalifikacije žrebna lista'!$A$7:$R$38,3)))</f>
      </c>
      <c r="AH56" s="133">
        <f>PROPER(IF($D$29="","",VLOOKUP($D$29,'[1]ž kvalifikacije žrebna lista'!$A$7:$R$38,4)))</f>
      </c>
      <c r="AI56" s="143">
        <f t="shared" si="4"/>
        <v>0</v>
      </c>
      <c r="AJ56" s="135"/>
    </row>
    <row r="57" spans="1:36" s="83" customFormat="1" ht="9" customHeight="1">
      <c r="A57" s="89">
        <v>26</v>
      </c>
      <c r="B57" s="103" t="str">
        <f>UPPER(IF($D57="","",VLOOKUP($D57,'[1]ž kvalifikacije žrebna lista'!$A$7:$R$38,17)))</f>
        <v>D</v>
      </c>
      <c r="C57" s="103">
        <f>IF($D57="","",VLOOKUP($D57,'[1]ž kvalifikacije žrebna lista'!$A$7:$R$38,2))</f>
        <v>7343</v>
      </c>
      <c r="D57" s="74">
        <v>7</v>
      </c>
      <c r="E57" s="104" t="str">
        <f>UPPER(IF($D57="","",VLOOKUP($D57,'[1]ž kvalifikacije žrebna lista'!$A$7:$R$38,3)))</f>
        <v>MERVIČ</v>
      </c>
      <c r="F57" s="104" t="str">
        <f>PROPER(IF($D57="","",VLOOKUP($D57,'[1]ž kvalifikacije žrebna lista'!$A$7:$R$38,4)))</f>
        <v>Ana</v>
      </c>
      <c r="G57" s="104"/>
      <c r="H57" s="104" t="str">
        <f>UPPER(IF($D57="","",VLOOKUP($D57,'[1]ž kvalifikacije žrebna lista'!$A$7:$R$38,5)))</f>
        <v>N.GOR</v>
      </c>
      <c r="I57" s="207">
        <f>IF($D57="","",VLOOKUP($D57,'[1]ž kvalifikacije žrebna lista'!$A$7:$R$38,14))</f>
        <v>10</v>
      </c>
      <c r="J57" s="106"/>
      <c r="K57" s="208"/>
      <c r="L57" s="76"/>
      <c r="M57" s="113"/>
      <c r="N57" s="113"/>
      <c r="O57" s="113"/>
      <c r="P57" s="80"/>
      <c r="Q57" s="81"/>
      <c r="R57" s="82"/>
      <c r="U57" s="30">
        <f>IF($D57="","",VLOOKUP($D57,'[1]ž kvalifikacije žrebna lista'!$A$7:$R$38,2))</f>
        <v>7343</v>
      </c>
      <c r="V57" s="133">
        <v>13</v>
      </c>
      <c r="W57" s="133" t="str">
        <f>UPPER(IF($D$31="","",VLOOKUP($D$31,'[1]ž kvalifikacije žrebna lista'!$A$7:$R$38,3)))</f>
        <v>SEFIČ</v>
      </c>
      <c r="X57" s="133" t="str">
        <f>PROPER(IF($D$31="","",VLOOKUP($D$31,'[1]ž kvalifikacije žrebna lista'!$A$7:$R$38,4)))</f>
        <v>Laura</v>
      </c>
      <c r="Y57" s="131" t="str">
        <f>IF(W57="","",IF($U$32&lt;&gt;$U$31,"",IF(OR($J$33="bb",$J$33=""),"0",$I$33)))</f>
        <v>0</v>
      </c>
      <c r="Z57" s="131" t="str">
        <f>IF($W$45="","",IF($U$34&lt;&gt;$U$31,"",IF(OR($L$35="bb",$L$35=""),"0",$K$36)))</f>
        <v>0</v>
      </c>
      <c r="AA57" s="131"/>
      <c r="AB57" s="131"/>
      <c r="AC57" s="131"/>
      <c r="AD57" s="131"/>
      <c r="AE57" s="143">
        <f t="shared" si="3"/>
        <v>0</v>
      </c>
      <c r="AF57" s="133">
        <f>IF($C31="","",'ž kvalifikacije 32'!$C$7)</f>
        <v>6520</v>
      </c>
      <c r="AG57" s="133" t="str">
        <f>UPPER(IF($D$31="","",VLOOKUP($D$31,'[1]ž kvalifikacije žrebna lista'!$A$7:$R$38,3)))</f>
        <v>SEFIČ</v>
      </c>
      <c r="AH57" s="133" t="str">
        <f>PROPER(IF($D$31="","",VLOOKUP($D$31,'[1]ž kvalifikacije žrebna lista'!$A$7:$R$38,4)))</f>
        <v>Laura</v>
      </c>
      <c r="AI57" s="143">
        <f t="shared" si="4"/>
        <v>10</v>
      </c>
      <c r="AJ57" s="135"/>
    </row>
    <row r="58" spans="1:36" s="83" customFormat="1" ht="9" customHeight="1">
      <c r="A58" s="89"/>
      <c r="B58" s="90"/>
      <c r="C58" s="90"/>
      <c r="D58" s="109"/>
      <c r="E58" s="91"/>
      <c r="F58" s="91"/>
      <c r="G58" s="92"/>
      <c r="H58" s="91"/>
      <c r="I58" s="90"/>
      <c r="J58" s="93" t="s">
        <v>23</v>
      </c>
      <c r="K58" s="111" t="s">
        <v>27</v>
      </c>
      <c r="L58" s="95" t="str">
        <f>UPPER(IF(OR(K58="a",K58="as"),J56,IF(OR(K58="b",K58="bs"),J60,)))</f>
        <v>MERVIČ</v>
      </c>
      <c r="M58" s="112"/>
      <c r="N58" s="113"/>
      <c r="O58" s="113"/>
      <c r="P58" s="80"/>
      <c r="Q58" s="81"/>
      <c r="R58" s="82"/>
      <c r="U58" s="30">
        <f>IF(OR(K58="a",K58="as"),$U$56,IF(OR(K58="b",K58="bs"),U60,""))</f>
        <v>7343</v>
      </c>
      <c r="V58" s="133">
        <v>14</v>
      </c>
      <c r="W58" s="133">
        <f>UPPER(IF($D$33="","",VLOOKUP($D$33,'[1]ž kvalifikacije žrebna lista'!$A$7:$R$38,3)))</f>
      </c>
      <c r="X58" s="133">
        <f>PROPER(IF($D$33="","",VLOOKUP($D$33,'[1]ž kvalifikacije žrebna lista'!$A$7:$R$38,4)))</f>
      </c>
      <c r="Y58" s="131">
        <f>IF(W58="","",IF($U$32&lt;&gt;$U$33,"",IF(OR($J$33="bb",$J$33=""),"0",$I$31)))</f>
      </c>
      <c r="Z58" s="131">
        <f>IF($W$45="","",IF($U$34&lt;&gt;$U$33,"",IF(OR($L$35="bb",$L$35=""),"0",$K$36)))</f>
      </c>
      <c r="AA58" s="131"/>
      <c r="AB58" s="131"/>
      <c r="AC58" s="131"/>
      <c r="AD58" s="131"/>
      <c r="AE58" s="143">
        <f t="shared" si="3"/>
        <v>0</v>
      </c>
      <c r="AF58" s="133">
        <f>IF($C33="","",'ž kvalifikacije 32'!$C$7)</f>
      </c>
      <c r="AG58" s="133">
        <f>UPPER(IF($D$33="","",VLOOKUP($D$33,'[1]ž kvalifikacije žrebna lista'!$A$7:$R$38,3)))</f>
      </c>
      <c r="AH58" s="133">
        <f>PROPER(IF($D$33="","",VLOOKUP($D$33,'[1]ž kvalifikacije žrebna lista'!$A$7:$R$38,4)))</f>
      </c>
      <c r="AI58" s="143">
        <f t="shared" si="4"/>
        <v>0</v>
      </c>
      <c r="AJ58" s="135"/>
    </row>
    <row r="59" spans="1:36" s="83" customFormat="1" ht="9" customHeight="1">
      <c r="A59" s="89">
        <v>27</v>
      </c>
      <c r="B59" s="103">
        <f>UPPER(IF($D59="","",VLOOKUP($D59,'[1]ž kvalifikacije žrebna lista'!$A$7:$R$38,17)))</f>
      </c>
      <c r="C59" s="103">
        <f>IF($D59="","",VLOOKUP($D59,'[1]ž kvalifikacije žrebna lista'!$A$7:$R$38,2))</f>
        <v>0</v>
      </c>
      <c r="D59" s="74">
        <v>11</v>
      </c>
      <c r="E59" s="104" t="s">
        <v>25</v>
      </c>
      <c r="F59" s="104">
        <f>PROPER(IF($D59="","",VLOOKUP($D59,'[1]ž kvalifikacije žrebna lista'!$A$7:$R$38,4)))</f>
      </c>
      <c r="G59" s="104"/>
      <c r="H59" s="104">
        <f>UPPER(IF($D59="","",VLOOKUP($D59,'[1]ž kvalifikacije žrebna lista'!$A$7:$R$38,5)))</f>
      </c>
      <c r="I59" s="206">
        <f>IF($D59="","",VLOOKUP($D59,'[1]ž kvalifikacije žrebna lista'!$A$7:$R$38,14))</f>
        <v>0</v>
      </c>
      <c r="J59" s="76"/>
      <c r="K59" s="209"/>
      <c r="L59" s="106">
        <v>91</v>
      </c>
      <c r="M59" s="115"/>
      <c r="N59" s="115"/>
      <c r="O59" s="113"/>
      <c r="P59" s="80"/>
      <c r="Q59" s="81"/>
      <c r="R59" s="144"/>
      <c r="U59" s="30">
        <f>IF($D59="","",VLOOKUP($D59,'[1]ž kvalifikacije žrebna lista'!$A$7:$R$38,2))</f>
        <v>0</v>
      </c>
      <c r="V59" s="133">
        <v>15</v>
      </c>
      <c r="W59" s="133">
        <f>UPPER(IF($D$35="","",VLOOKUP($D$35,'[1]ž kvalifikacije žrebna lista'!$A$7:$R$38,3)))</f>
      </c>
      <c r="X59" s="133">
        <f>PROPER(IF($D$35="","",VLOOKUP($D$35,'[1]ž kvalifikacije žrebna lista'!$A$7:$R$38,4)))</f>
      </c>
      <c r="Y59" s="131">
        <f>IF(W59="","",IF($U$36&lt;&gt;$U$35,"",IF(OR($J$37="bb",$J$37=""),"0",$I$37)))</f>
      </c>
      <c r="Z59" s="131">
        <f>IF($W$45="","",IF($U$34&lt;&gt;$U$35,"",IF(OR($L$35="bb",$L$35=""),"0",$K$32)))</f>
      </c>
      <c r="AA59" s="131"/>
      <c r="AB59" s="131"/>
      <c r="AC59" s="131"/>
      <c r="AD59" s="131"/>
      <c r="AE59" s="143">
        <f t="shared" si="3"/>
        <v>0</v>
      </c>
      <c r="AF59" s="133">
        <f>IF($C35="","",'ž kvalifikacije 32'!$C$7)</f>
      </c>
      <c r="AG59" s="133">
        <f>UPPER(IF($D$35="","",VLOOKUP($D$35,'[1]ž kvalifikacije žrebna lista'!$A$7:$R$38,3)))</f>
      </c>
      <c r="AH59" s="133">
        <f>PROPER(IF($D$35="","",VLOOKUP($D$35,'[1]ž kvalifikacije žrebna lista'!$A$7:$R$38,4)))</f>
      </c>
      <c r="AI59" s="143">
        <f t="shared" si="4"/>
        <v>0</v>
      </c>
      <c r="AJ59" s="135"/>
    </row>
    <row r="60" spans="1:36" s="83" customFormat="1" ht="9" customHeight="1">
      <c r="A60" s="89"/>
      <c r="B60" s="90"/>
      <c r="C60" s="90"/>
      <c r="D60" s="109"/>
      <c r="E60" s="91"/>
      <c r="F60" s="91"/>
      <c r="G60" s="92"/>
      <c r="H60" s="93" t="s">
        <v>26</v>
      </c>
      <c r="I60" s="94" t="s">
        <v>26</v>
      </c>
      <c r="J60" s="95" t="str">
        <f>UPPER(IF(OR(I60="a",I60="as"),E59,IF(OR(I60="b",I60="bs"),E61,)))</f>
        <v>HANC</v>
      </c>
      <c r="K60" s="210">
        <f>IF(OR(I60="a",I60="as"),I59,IF(OR(I60="b",I60="bs"),I61,))</f>
        <v>10</v>
      </c>
      <c r="L60" s="76"/>
      <c r="M60" s="115"/>
      <c r="N60" s="115"/>
      <c r="O60" s="113"/>
      <c r="P60" s="214" t="s">
        <v>30</v>
      </c>
      <c r="Q60" s="81"/>
      <c r="R60" s="82"/>
      <c r="U60" s="30">
        <f>IF(OR(I60="a",I60="as"),C59,IF(OR(I60="b",I60="bs"),C61,""))</f>
        <v>6871</v>
      </c>
      <c r="V60" s="133">
        <v>16</v>
      </c>
      <c r="W60" s="133">
        <f>UPPER(IF($D$37="","",VLOOKUP($D$37,'[1]ž kvalifikacije žrebna lista'!$A$7:$R$38,3)))</f>
      </c>
      <c r="X60" s="133">
        <f>PROPER(IF($D$37="","",VLOOKUP($D$37,'[1]ž kvalifikacije žrebna lista'!$A$7:$R$38,4)))</f>
      </c>
      <c r="Y60" s="131">
        <f>IF(W60="","",IF($U$36&lt;&gt;$U$37,"",IF(OR($J$37="bb",$J$37=""),"0",$I$35)))</f>
      </c>
      <c r="Z60" s="131">
        <f>IF($W$45="","",IF($U$34&lt;&gt;$U$37,"",IF(OR($L$35="bb",$L$35=""),"0",$K$32)))</f>
      </c>
      <c r="AA60" s="131"/>
      <c r="AB60" s="131"/>
      <c r="AC60" s="131"/>
      <c r="AD60" s="131"/>
      <c r="AE60" s="143">
        <f t="shared" si="3"/>
        <v>0</v>
      </c>
      <c r="AF60" s="133">
        <f>IF($C37="","",'ž kvalifikacije 32'!$C$7)</f>
      </c>
      <c r="AG60" s="133">
        <f>UPPER(IF($D$37="","",VLOOKUP($D$37,'[1]ž kvalifikacije žrebna lista'!$A$7:$R$38,3)))</f>
      </c>
      <c r="AH60" s="133">
        <f>PROPER(IF($D$37="","",VLOOKUP($D$37,'[1]ž kvalifikacije žrebna lista'!$A$7:$R$38,4)))</f>
      </c>
      <c r="AI60" s="143">
        <f t="shared" si="4"/>
        <v>0</v>
      </c>
      <c r="AJ60" s="135"/>
    </row>
    <row r="61" spans="1:36" s="83" customFormat="1" ht="9" customHeight="1">
      <c r="A61" s="89">
        <v>28</v>
      </c>
      <c r="B61" s="103" t="str">
        <f>UPPER(IF($D61="","",VLOOKUP($D61,'[1]ž kvalifikacije žrebna lista'!$A$7:$R$38,17)))</f>
        <v>D</v>
      </c>
      <c r="C61" s="103">
        <f>IF($D61="","",VLOOKUP($D61,'[1]ž kvalifikacije žrebna lista'!$A$7:$R$38,2))</f>
        <v>6871</v>
      </c>
      <c r="D61" s="74">
        <v>8</v>
      </c>
      <c r="E61" s="104" t="str">
        <f>UPPER(IF($D61="","",VLOOKUP($D61,'[1]ž kvalifikacije žrebna lista'!$A$7:$R$38,3)))</f>
        <v>HANC</v>
      </c>
      <c r="F61" s="104" t="str">
        <f>PROPER(IF($D61="","",VLOOKUP($D61,'[1]ž kvalifikacije žrebna lista'!$A$7:$R$38,4)))</f>
        <v>Živa</v>
      </c>
      <c r="G61" s="104"/>
      <c r="H61" s="104" t="str">
        <f>UPPER(IF($D61="","",VLOOKUP($D61,'[1]ž kvalifikacije žrebna lista'!$A$7:$R$38,5)))</f>
        <v>MEDVO</v>
      </c>
      <c r="I61" s="211">
        <f>IF($D61="","",VLOOKUP($D61,'[1]ž kvalifikacije žrebna lista'!$A$7:$R$38,14))</f>
        <v>10</v>
      </c>
      <c r="J61" s="106"/>
      <c r="K61" s="77"/>
      <c r="L61" s="76"/>
      <c r="M61" s="115"/>
      <c r="N61" s="115"/>
      <c r="O61" s="113"/>
      <c r="P61" s="80"/>
      <c r="Q61" s="81"/>
      <c r="R61" s="82"/>
      <c r="U61" s="30">
        <f>IF($D61="","",VLOOKUP($D61,'[1]ž kvalifikacije žrebna lista'!$A$7:$R$38,2))</f>
        <v>6871</v>
      </c>
      <c r="V61" s="133">
        <v>17</v>
      </c>
      <c r="W61" s="133" t="str">
        <f>UPPER(IF($D$39="","",VLOOKUP($D$39,'[1]ž kvalifikacije žrebna lista'!$A$7:$R$38,3)))</f>
        <v>TURNŠEK</v>
      </c>
      <c r="X61" s="133" t="str">
        <f>PROPER(IF($D$39="","",VLOOKUP($D$39,'[1]ž kvalifikacije žrebna lista'!$A$7:$R$38,4)))</f>
        <v>Anja</v>
      </c>
      <c r="Y61" s="131" t="str">
        <f>IF(W61="","",IF($U$40&lt;&gt;$U$39,"",IF(OR($J$41="bb",$J$41=""),"0",$I$41)))</f>
        <v>0</v>
      </c>
      <c r="Z61" s="131" t="str">
        <f>IF($W$45="","",IF($U$42&lt;&gt;$U$39,"",IF(OR($L$43="bb",$L$43=""),"0",$K$44)))</f>
        <v>0</v>
      </c>
      <c r="AA61" s="131"/>
      <c r="AB61" s="131"/>
      <c r="AC61" s="131"/>
      <c r="AD61" s="131"/>
      <c r="AE61" s="143">
        <f t="shared" si="3"/>
        <v>0</v>
      </c>
      <c r="AF61" s="133">
        <f>IF($C39="","",'ž kvalifikacije 32'!$C$7)</f>
        <v>6520</v>
      </c>
      <c r="AG61" s="133" t="str">
        <f>UPPER(IF($D$39="","",VLOOKUP($D$39,'[1]ž kvalifikacije žrebna lista'!$A$7:$R$38,3)))</f>
        <v>TURNŠEK</v>
      </c>
      <c r="AH61" s="133" t="str">
        <f>PROPER(IF($D$39="","",VLOOKUP($D$39,'[1]ž kvalifikacije žrebna lista'!$A$7:$R$38,4)))</f>
        <v>Anja</v>
      </c>
      <c r="AI61" s="143">
        <f t="shared" si="4"/>
        <v>10</v>
      </c>
      <c r="AJ61" s="135"/>
    </row>
    <row r="62" spans="1:36" s="83" customFormat="1" ht="9" customHeight="1">
      <c r="A62" s="89"/>
      <c r="B62" s="90"/>
      <c r="C62" s="90"/>
      <c r="D62" s="109"/>
      <c r="E62" s="76"/>
      <c r="F62" s="76"/>
      <c r="G62" s="120"/>
      <c r="H62" s="121"/>
      <c r="I62" s="90"/>
      <c r="J62" s="76"/>
      <c r="K62" s="77"/>
      <c r="L62" s="76"/>
      <c r="M62" s="213"/>
      <c r="N62" s="123">
        <f>UPPER(IF(OR(M62="a",M62="as"),L58,IF(OR(M62="b",M62="bs"),L66,)))</f>
      </c>
      <c r="O62" s="115"/>
      <c r="P62" s="215" t="s">
        <v>31</v>
      </c>
      <c r="Q62" s="216">
        <f>IF(J4="","",'[1]ž glavni 32'!$Q$63)</f>
        <v>2</v>
      </c>
      <c r="R62" s="217"/>
      <c r="U62" s="30"/>
      <c r="V62" s="133">
        <v>18</v>
      </c>
      <c r="W62" s="133">
        <f>UPPER(IF($D$41="","",VLOOKUP($D$41,'[1]ž kvalifikacije žrebna lista'!$A$7:$R$38,3)))</f>
      </c>
      <c r="X62" s="133">
        <f>PROPER(IF($D$41="","",VLOOKUP($D$41,'[1]ž kvalifikacije žrebna lista'!$A$7:$R$38,4)))</f>
      </c>
      <c r="Y62" s="131">
        <f>IF(W62="","",IF($U$40&lt;&gt;$U$41,"",IF(OR($J$41="bb",$J$41=""),"0",$I$39)))</f>
      </c>
      <c r="Z62" s="131">
        <f>IF($W$45="","",IF($U$42&lt;&gt;$U$41,"",IF(OR($L$43="bb",$L$43=""),"0",$K$44)))</f>
      </c>
      <c r="AA62" s="131"/>
      <c r="AB62" s="131"/>
      <c r="AC62" s="131"/>
      <c r="AD62" s="131"/>
      <c r="AE62" s="143">
        <f t="shared" si="3"/>
        <v>0</v>
      </c>
      <c r="AF62" s="133">
        <f>IF($C41="","",'ž kvalifikacije 32'!$C$7)</f>
      </c>
      <c r="AG62" s="133">
        <f>UPPER(IF($D$41="","",VLOOKUP($D$41,'[1]ž kvalifikacije žrebna lista'!$A$7:$R$38,3)))</f>
      </c>
      <c r="AH62" s="133">
        <f>PROPER(IF($D$41="","",VLOOKUP($D$41,'[1]ž kvalifikacije žrebna lista'!$A$7:$R$38,4)))</f>
      </c>
      <c r="AI62" s="143">
        <f t="shared" si="4"/>
        <v>0</v>
      </c>
      <c r="AJ62" s="135"/>
    </row>
    <row r="63" spans="1:36" s="83" customFormat="1" ht="9" customHeight="1">
      <c r="A63" s="72">
        <v>29</v>
      </c>
      <c r="B63" s="73">
        <f>UPPER(IF($D63="","",VLOOKUP($D63,'[1]ž kvalifikacije žrebna lista'!$A$7:$R$38,17)))</f>
      </c>
      <c r="C63" s="73">
        <f>IF($D63="","",VLOOKUP($D63,'[1]ž kvalifikacije žrebna lista'!$A$7:$R$38,2))</f>
      </c>
      <c r="D63" s="74"/>
      <c r="E63" s="104" t="s">
        <v>25</v>
      </c>
      <c r="F63" s="73">
        <f>PROPER(IF($D63="","",VLOOKUP($D63,'[1]ž kvalifikacije žrebna lista'!$A$7:$R$38,4)))</f>
      </c>
      <c r="G63" s="104"/>
      <c r="H63" s="73">
        <f>UPPER(IF($D63="","",VLOOKUP($D63,'[1]ž kvalifikacije žrebna lista'!$A$7:$R$38,5)))</f>
      </c>
      <c r="I63" s="212">
        <f>IF($D63="","",VLOOKUP($D63,'[1]ž kvalifikacije žrebna lista'!$A$7:$R$38,14))</f>
      </c>
      <c r="J63" s="76"/>
      <c r="K63" s="77"/>
      <c r="L63" s="76"/>
      <c r="M63" s="115"/>
      <c r="N63" s="123"/>
      <c r="O63" s="113"/>
      <c r="P63" s="218" t="s">
        <v>17</v>
      </c>
      <c r="Q63" s="219">
        <f>IF($C$2="B turnir",0.5,IF($Q$62=1,15,IF($Q$62=2,10,IF($Q$62=3,5,""))))</f>
        <v>10</v>
      </c>
      <c r="R63" s="82"/>
      <c r="U63" s="30">
        <f>IF($D63="","",VLOOKUP($D63,'[1]ž kvalifikacije žrebna lista'!$A$7:$R$38,2))</f>
      </c>
      <c r="V63" s="133">
        <v>19</v>
      </c>
      <c r="W63" s="133">
        <f>UPPER(IF($D$43="","",VLOOKUP($D$43,'[1]ž kvalifikacije žrebna lista'!$A$7:$R$38,3)))</f>
      </c>
      <c r="X63" s="133">
        <f>PROPER(IF($D$43="","",VLOOKUP($D$43,'[1]ž kvalifikacije žrebna lista'!$A$7:$R$38,4)))</f>
      </c>
      <c r="Y63" s="131">
        <f>IF(W63="","",IF($U$44&lt;&gt;$U$43,"",IF(OR($J$45="bb",$J$45=""),"0",$I$45)))</f>
      </c>
      <c r="Z63" s="131">
        <f>IF($W$45="","",IF($U$42&lt;&gt;$U$43,"",IF(OR($L$43="bb",$L$43=""),"0",$K$40)))</f>
      </c>
      <c r="AA63" s="131"/>
      <c r="AB63" s="131"/>
      <c r="AC63" s="131"/>
      <c r="AD63" s="131"/>
      <c r="AE63" s="143">
        <f t="shared" si="3"/>
        <v>0</v>
      </c>
      <c r="AF63" s="133">
        <f>IF($C43="","",'ž kvalifikacije 32'!$C$7)</f>
      </c>
      <c r="AG63" s="133">
        <f>UPPER(IF($D$43="","",VLOOKUP($D$43,'[1]ž kvalifikacije žrebna lista'!$A$7:$R$38,3)))</f>
      </c>
      <c r="AH63" s="133">
        <f>PROPER(IF($D$43="","",VLOOKUP($D$43,'[1]ž kvalifikacije žrebna lista'!$A$7:$R$38,4)))</f>
      </c>
      <c r="AI63" s="143">
        <f t="shared" si="4"/>
        <v>0</v>
      </c>
      <c r="AJ63" s="135"/>
    </row>
    <row r="64" spans="1:36" s="83" customFormat="1" ht="9" customHeight="1">
      <c r="A64" s="89"/>
      <c r="B64" s="90"/>
      <c r="C64" s="90"/>
      <c r="D64" s="109"/>
      <c r="E64" s="91"/>
      <c r="F64" s="91"/>
      <c r="G64" s="92"/>
      <c r="H64" s="93" t="s">
        <v>23</v>
      </c>
      <c r="I64" s="94" t="s">
        <v>26</v>
      </c>
      <c r="J64" s="95" t="str">
        <f>UPPER(IF(OR(I64="a",I64="as"),E63,IF(OR(I64="b",I64="bs"),E65,)))</f>
        <v>DEVETAK</v>
      </c>
      <c r="K64" s="104">
        <f>IF(OR(I64="a",I64="as"),I63,IF(OR(I64="b",I64="bs"),I65,))</f>
        <v>10</v>
      </c>
      <c r="L64" s="76"/>
      <c r="M64" s="115"/>
      <c r="N64" s="115"/>
      <c r="O64" s="113"/>
      <c r="P64" s="218" t="s">
        <v>32</v>
      </c>
      <c r="Q64" s="219">
        <f>IF($C$2="B turnir",0.4,IF($Q$62=1,12,IF($Q$62=2,8,IF($Q$62=3,4,""))))</f>
        <v>8</v>
      </c>
      <c r="R64" s="82"/>
      <c r="U64" s="30">
        <f>IF(OR(I64="a",I64="as"),C63,IF(OR(I64="b",I64="bs"),C65,""))</f>
        <v>8888</v>
      </c>
      <c r="V64" s="133">
        <v>20</v>
      </c>
      <c r="W64" s="133">
        <f>UPPER(IF($D$45="","",VLOOKUP($D$45,'[1]ž kvalifikacije žrebna lista'!$A$7:$R$38,3)))</f>
      </c>
      <c r="X64" s="133">
        <f>PROPER(IF($D$45="","",VLOOKUP($D$45,'[1]ž kvalifikacije žrebna lista'!$A$7:$R$38,4)))</f>
      </c>
      <c r="Y64" s="131">
        <f>IF(W64="","",IF($U$44&lt;&gt;$U$45,"",IF(OR($J$45="bb",$J$45=""),"0",$I$43)))</f>
      </c>
      <c r="Z64" s="131">
        <f>IF($W$45="","",IF($U$42&lt;&gt;$U$45,"",IF(OR($L$43="bb",$L$43=""),"0",$K$40)))</f>
      </c>
      <c r="AA64" s="131"/>
      <c r="AB64" s="131"/>
      <c r="AC64" s="131"/>
      <c r="AD64" s="131"/>
      <c r="AE64" s="143">
        <f t="shared" si="3"/>
        <v>0</v>
      </c>
      <c r="AF64" s="133">
        <f>IF($C45="","",'ž kvalifikacije 32'!$C$7)</f>
      </c>
      <c r="AG64" s="133">
        <f>UPPER(IF($D$45="","",VLOOKUP($D$45,'[1]ž kvalifikacije žrebna lista'!$A$7:$R$38,3)))</f>
      </c>
      <c r="AH64" s="133">
        <f>PROPER(IF($D$45="","",VLOOKUP($D$45,'[1]ž kvalifikacije žrebna lista'!$A$7:$R$38,4)))</f>
      </c>
      <c r="AI64" s="143">
        <f t="shared" si="4"/>
        <v>0</v>
      </c>
      <c r="AJ64" s="135"/>
    </row>
    <row r="65" spans="1:36" s="83" customFormat="1" ht="9" customHeight="1">
      <c r="A65" s="89">
        <v>30</v>
      </c>
      <c r="B65" s="103" t="str">
        <f>UPPER(IF($D65="","",VLOOKUP($D65,'[1]ž kvalifikacije žrebna lista'!$A$7:$R$38,17)))</f>
        <v>D</v>
      </c>
      <c r="C65" s="103">
        <f>IF($D65="","",VLOOKUP($D65,'[1]ž kvalifikacije žrebna lista'!$A$7:$R$38,2))</f>
        <v>8888</v>
      </c>
      <c r="D65" s="74">
        <v>10</v>
      </c>
      <c r="E65" s="104" t="str">
        <f>UPPER(IF($D65="","",VLOOKUP($D65,'[1]ž kvalifikacije žrebna lista'!$A$7:$R$38,3)))</f>
        <v>DEVETAK</v>
      </c>
      <c r="F65" s="104" t="str">
        <f>PROPER(IF($D65="","",VLOOKUP($D65,'[1]ž kvalifikacije žrebna lista'!$A$7:$R$38,4)))</f>
        <v>Martina</v>
      </c>
      <c r="G65" s="104"/>
      <c r="H65" s="104" t="str">
        <f>UPPER(IF($D65="","",VLOOKUP($D65,'[1]ž kvalifikacije žrebna lista'!$A$7:$R$38,5)))</f>
        <v>ITA</v>
      </c>
      <c r="I65" s="207">
        <f>IF($D65="","",VLOOKUP($D65,'[1]ž kvalifikacije žrebna lista'!$A$7:$R$38,14))</f>
        <v>10</v>
      </c>
      <c r="J65" s="106"/>
      <c r="K65" s="208"/>
      <c r="L65" s="76"/>
      <c r="M65" s="115"/>
      <c r="N65" s="115"/>
      <c r="O65" s="113"/>
      <c r="P65" s="218" t="s">
        <v>33</v>
      </c>
      <c r="Q65" s="219">
        <f>IF($C$2="B turnir",0.3,IF($Q$62=1,9,IF($Q$62=2,6,IF($Q$62=3,3,""))))</f>
        <v>6</v>
      </c>
      <c r="R65" s="82"/>
      <c r="U65" s="30">
        <f>IF($D65="","",VLOOKUP($D65,'[1]ž kvalifikacije žrebna lista'!$A$7:$R$38,2))</f>
        <v>8888</v>
      </c>
      <c r="V65" s="133">
        <v>21</v>
      </c>
      <c r="W65" s="133">
        <f>UPPER(IF($D$47="","",VLOOKUP($D$47,'[1]ž kvalifikacije žrebna lista'!$A$7:$R$38,3)))</f>
      </c>
      <c r="X65" s="133">
        <f>PROPER(IF($D$47="","",VLOOKUP($D$47,'[1]ž kvalifikacije žrebna lista'!$A$7:$R$38,4)))</f>
      </c>
      <c r="Y65" s="131">
        <f>IF(W65="","",IF($U$48&lt;&gt;$U$47,"",IF(OR($J$49="bb",$J$49=""),"0",$I$49)))</f>
      </c>
      <c r="Z65" s="131">
        <f>IF($W$45="","",IF($U$50&lt;&gt;$U$47,"",IF(OR($L$51="bb",$L$51=""),"0",$K$52)))</f>
      </c>
      <c r="AA65" s="131"/>
      <c r="AB65" s="131"/>
      <c r="AC65" s="131"/>
      <c r="AD65" s="131"/>
      <c r="AE65" s="143">
        <f t="shared" si="3"/>
        <v>0</v>
      </c>
      <c r="AF65" s="133">
        <f>IF($C47="","",'ž kvalifikacije 32'!$C$7)</f>
      </c>
      <c r="AG65" s="133">
        <f>UPPER(IF($D$47="","",VLOOKUP($D$47,'[1]ž kvalifikacije žrebna lista'!$A$7:$R$38,3)))</f>
      </c>
      <c r="AH65" s="133">
        <f>PROPER(IF($D$47="","",VLOOKUP($D$47,'[1]ž kvalifikacije žrebna lista'!$A$7:$R$38,4)))</f>
      </c>
      <c r="AI65" s="143">
        <f t="shared" si="4"/>
        <v>0</v>
      </c>
      <c r="AJ65" s="135"/>
    </row>
    <row r="66" spans="1:36" s="83" customFormat="1" ht="9" customHeight="1">
      <c r="A66" s="89"/>
      <c r="B66" s="90"/>
      <c r="C66" s="90"/>
      <c r="D66" s="109"/>
      <c r="E66" s="91"/>
      <c r="F66" s="91"/>
      <c r="G66" s="92"/>
      <c r="H66" s="76"/>
      <c r="I66" s="90"/>
      <c r="J66" s="93" t="s">
        <v>23</v>
      </c>
      <c r="K66" s="111" t="s">
        <v>27</v>
      </c>
      <c r="L66" s="95" t="str">
        <f>UPPER(IF(OR(K66="a",K66="as"),J64,IF(OR(K66="b",K66="bs"),J68,)))</f>
        <v>DEVETAK</v>
      </c>
      <c r="M66" s="112"/>
      <c r="N66" s="115"/>
      <c r="O66" s="113"/>
      <c r="P66" s="218" t="s">
        <v>34</v>
      </c>
      <c r="Q66" s="219">
        <f>IF($C$2="B turnir",0.2,IF($Q$62=1,6,IF($Q$62=2,4,IF($Q$62=3,2,""))))</f>
        <v>4</v>
      </c>
      <c r="R66" s="82"/>
      <c r="U66" s="30">
        <f>IF(OR(K66="a",K66="as"),$U$64,IF(OR(K66="b",K66="bs"),U68,""))</f>
        <v>8888</v>
      </c>
      <c r="V66" s="133">
        <v>22</v>
      </c>
      <c r="W66" s="133" t="str">
        <f>UPPER(IF($D$49="","",VLOOKUP($D$49,'[1]ž kvalifikacije žrebna lista'!$A$7:$R$38,3)))</f>
        <v>MAKAROVIČ</v>
      </c>
      <c r="X66" s="133" t="str">
        <f>PROPER(IF($D$49="","",VLOOKUP($D$49,'[1]ž kvalifikacije žrebna lista'!$A$7:$R$38,4)))</f>
        <v>Anika</v>
      </c>
      <c r="Y66" s="131" t="str">
        <f>IF(W66="","",IF($U$48&lt;&gt;$U$49,"",IF(OR($J$49="bb",$J$49=""),"0",$I$47)))</f>
        <v>0</v>
      </c>
      <c r="Z66" s="131" t="str">
        <f>IF($W$45="","",IF($U$50&lt;&gt;$U$49,"",IF(OR($L$51="bb",$L$51=""),"0",$K$52)))</f>
        <v>0</v>
      </c>
      <c r="AA66" s="131"/>
      <c r="AB66" s="131"/>
      <c r="AC66" s="131"/>
      <c r="AD66" s="131"/>
      <c r="AE66" s="143">
        <f t="shared" si="3"/>
        <v>0</v>
      </c>
      <c r="AF66" s="133">
        <f>IF($C49="","",'ž kvalifikacije 32'!$C$7)</f>
        <v>6520</v>
      </c>
      <c r="AG66" s="133" t="str">
        <f>UPPER(IF($D$49="","",VLOOKUP($D$49,'[1]ž kvalifikacije žrebna lista'!$A$7:$R$38,3)))</f>
        <v>MAKAROVIČ</v>
      </c>
      <c r="AH66" s="133" t="str">
        <f>PROPER(IF($D$49="","",VLOOKUP($D$49,'[1]ž kvalifikacije žrebna lista'!$A$7:$R$38,4)))</f>
        <v>Anika</v>
      </c>
      <c r="AI66" s="143">
        <f t="shared" si="4"/>
        <v>10</v>
      </c>
      <c r="AJ66" s="135"/>
    </row>
    <row r="67" spans="1:36" s="83" customFormat="1" ht="9" customHeight="1">
      <c r="A67" s="89">
        <v>31</v>
      </c>
      <c r="B67" s="103">
        <f>UPPER(IF($D67="","",VLOOKUP($D67,'[1]ž kvalifikacije žrebna lista'!$A$7:$R$38,17)))</f>
      </c>
      <c r="C67" s="103">
        <f>IF($D67="","",VLOOKUP($D67,'[1]ž kvalifikacije žrebna lista'!$A$7:$R$38,2))</f>
      </c>
      <c r="D67" s="74"/>
      <c r="E67" s="104" t="s">
        <v>25</v>
      </c>
      <c r="F67" s="104">
        <f>PROPER(IF($D67="","",VLOOKUP($D67,'[1]ž kvalifikacije žrebna lista'!$A$7:$R$38,4)))</f>
      </c>
      <c r="G67" s="104"/>
      <c r="H67" s="104">
        <f>UPPER(IF($D67="","",VLOOKUP($D67,'[1]ž kvalifikacije žrebna lista'!$A$7:$R$38,5)))</f>
      </c>
      <c r="I67" s="206">
        <f>IF($D67="","",VLOOKUP($D67,'[1]ž kvalifikacije žrebna lista'!$A$7:$R$38,14))</f>
      </c>
      <c r="J67" s="76"/>
      <c r="K67" s="209"/>
      <c r="L67" s="106">
        <v>90</v>
      </c>
      <c r="M67" s="113"/>
      <c r="N67" s="113"/>
      <c r="O67" s="113"/>
      <c r="P67" s="218" t="s">
        <v>35</v>
      </c>
      <c r="Q67" s="219">
        <f>IF($C$2="B turnir",0.1,IF($Q$62=1,3,IF($Q$62=2,2,IF($Q$62=3,1,""))))</f>
        <v>2</v>
      </c>
      <c r="R67" s="82"/>
      <c r="U67" s="30">
        <f>IF($D67="","",VLOOKUP($D67,'[1]ž kvalifikacije žrebna lista'!$A$7:$R$38,2))</f>
      </c>
      <c r="V67" s="133">
        <v>23</v>
      </c>
      <c r="W67" s="133">
        <f>UPPER(IF($D$51="","",VLOOKUP($D$51,'[1]ž kvalifikacije žrebna lista'!$A$7:$R$38,3)))</f>
      </c>
      <c r="X67" s="133">
        <f>PROPER(IF($D$51="","",VLOOKUP($D$51,'[1]ž kvalifikacije žrebna lista'!$A$7:$R$38,4)))</f>
      </c>
      <c r="Y67" s="131">
        <f>IF(W67="","",IF($U$52&lt;&gt;$U$51,"",IF(OR($J$53="bb",$J$53=""),"0",$I$53)))</f>
      </c>
      <c r="Z67" s="131">
        <f>IF($W$45="","",IF($U$50&lt;&gt;$U$51,"",IF(OR($L$51="bb",$L$51=""),"0",$K$48)))</f>
      </c>
      <c r="AA67" s="131"/>
      <c r="AB67" s="131"/>
      <c r="AC67" s="131"/>
      <c r="AD67" s="131"/>
      <c r="AE67" s="143">
        <f t="shared" si="3"/>
        <v>0</v>
      </c>
      <c r="AF67" s="133">
        <f>IF($C51="","",'ž kvalifikacije 32'!$C$7)</f>
      </c>
      <c r="AG67" s="133">
        <f>UPPER(IF($D$51="","",VLOOKUP($D$51,'[1]ž kvalifikacije žrebna lista'!$A$7:$R$38,3)))</f>
      </c>
      <c r="AH67" s="133">
        <f>PROPER(IF($D$51="","",VLOOKUP($D$51,'[1]ž kvalifikacije žrebna lista'!$A$7:$R$38,4)))</f>
      </c>
      <c r="AI67" s="143">
        <f t="shared" si="4"/>
        <v>0</v>
      </c>
      <c r="AJ67" s="135"/>
    </row>
    <row r="68" spans="1:36" s="83" customFormat="1" ht="9" customHeight="1">
      <c r="A68" s="89"/>
      <c r="B68" s="90"/>
      <c r="C68" s="90"/>
      <c r="D68" s="90"/>
      <c r="E68" s="91"/>
      <c r="F68" s="91"/>
      <c r="G68" s="92"/>
      <c r="H68" s="93" t="s">
        <v>23</v>
      </c>
      <c r="I68" s="94" t="s">
        <v>26</v>
      </c>
      <c r="J68" s="95" t="str">
        <f>UPPER(IF(OR(I68="a",I68="as"),E67,IF(OR(I68="b",I68="bs"),E69,)))</f>
        <v>HANC</v>
      </c>
      <c r="K68" s="210">
        <f>IF(OR(I68="a",I68="as"),I67,IF(OR(I68="b",I68="bs"),I69,))</f>
        <v>10</v>
      </c>
      <c r="L68" s="76"/>
      <c r="M68" s="113"/>
      <c r="N68" s="113"/>
      <c r="O68" s="113"/>
      <c r="P68" s="80"/>
      <c r="Q68" s="81"/>
      <c r="R68" s="82"/>
      <c r="U68" s="30">
        <f>IF(OR(I68="a",I68="as"),C67,IF(OR(I68="b",I68="bs"),C69,""))</f>
        <v>6870</v>
      </c>
      <c r="V68" s="133">
        <v>24</v>
      </c>
      <c r="W68" s="133">
        <f>UPPER(IF($D$53="","",VLOOKUP($D$53,'[1]ž kvalifikacije žrebna lista'!$A$7:$R$38,3)))</f>
      </c>
      <c r="X68" s="133">
        <f>PROPER(IF($D$53="","",VLOOKUP($D$53,'[1]ž kvalifikacije žrebna lista'!$A$7:$R$38,4)))</f>
      </c>
      <c r="Y68" s="131">
        <f>IF(W68="","",IF($U$52&lt;&gt;$U$53,"",IF(OR($J$53="bb",$J$53=""),"0",$I$51)))</f>
      </c>
      <c r="Z68" s="131">
        <f>IF($W$45="","",IF($U$50&lt;&gt;$U$53,"",IF(OR($L$51="bb",$L$51=""),"0",$K$48)))</f>
      </c>
      <c r="AA68" s="131"/>
      <c r="AB68" s="131"/>
      <c r="AC68" s="131"/>
      <c r="AD68" s="131"/>
      <c r="AE68" s="143">
        <f t="shared" si="3"/>
        <v>0</v>
      </c>
      <c r="AF68" s="133">
        <f>IF($C53="","",'ž kvalifikacije 32'!$C$7)</f>
      </c>
      <c r="AG68" s="133">
        <f>UPPER(IF($D$53="","",VLOOKUP($D$53,'[1]ž kvalifikacije žrebna lista'!$A$7:$R$38,3)))</f>
      </c>
      <c r="AH68" s="133">
        <f>PROPER(IF($D$53="","",VLOOKUP($D$53,'[1]ž kvalifikacije žrebna lista'!$A$7:$R$38,4)))</f>
      </c>
      <c r="AI68" s="143">
        <f t="shared" si="4"/>
        <v>0</v>
      </c>
      <c r="AJ68" s="135"/>
    </row>
    <row r="69" spans="1:36" s="83" customFormat="1" ht="9" customHeight="1">
      <c r="A69" s="89">
        <v>32</v>
      </c>
      <c r="B69" s="103" t="str">
        <f>UPPER(IF($D69="","",VLOOKUP($D69,'[1]ž kvalifikacije žrebna lista'!$A$7:$R$38,17)))</f>
        <v>D</v>
      </c>
      <c r="C69" s="103">
        <f>IF($D69="","",VLOOKUP($D69,'[1]ž kvalifikacije žrebna lista'!$A$7:$R$38,2))</f>
        <v>6870</v>
      </c>
      <c r="D69" s="74">
        <v>9</v>
      </c>
      <c r="E69" s="104" t="str">
        <f>UPPER(IF($D69="","",VLOOKUP($D69,'[1]ž kvalifikacije žrebna lista'!$A$7:$R$38,3)))</f>
        <v>HANC</v>
      </c>
      <c r="F69" s="104" t="str">
        <f>PROPER(IF($D69="","",VLOOKUP($D69,'[1]ž kvalifikacije žrebna lista'!$A$7:$R$38,4)))</f>
        <v>Veronika</v>
      </c>
      <c r="G69" s="104"/>
      <c r="H69" s="104" t="str">
        <f>UPPER(IF($D69="","",VLOOKUP($D69,'[1]ž kvalifikacije žrebna lista'!$A$7:$R$38,5)))</f>
        <v>MEDVO</v>
      </c>
      <c r="I69" s="211">
        <f>IF($D69="","",VLOOKUP($D69,'[1]ž kvalifikacije žrebna lista'!$A$7:$R$38,14))</f>
        <v>10</v>
      </c>
      <c r="J69" s="106"/>
      <c r="K69" s="77"/>
      <c r="L69" s="76"/>
      <c r="M69" s="76"/>
      <c r="N69" s="78"/>
      <c r="O69" s="79"/>
      <c r="P69" s="80"/>
      <c r="Q69" s="81"/>
      <c r="R69" s="82"/>
      <c r="U69" s="30">
        <f>IF($D69="","",VLOOKUP($D69,'[1]ž kvalifikacije žrebna lista'!$A$7:$R$38,2))</f>
        <v>6870</v>
      </c>
      <c r="V69" s="133">
        <v>25</v>
      </c>
      <c r="W69" s="133">
        <f>UPPER(IF($D$55="","",VLOOKUP($D$55,'[1]ž kvalifikacije žrebna lista'!$A$7:$R$38,3)))</f>
      </c>
      <c r="X69" s="133">
        <f>PROPER(IF($D$55="","",VLOOKUP($D$55,'[1]ž kvalifikacije žrebna lista'!$A$7:$R$38,4)))</f>
      </c>
      <c r="Y69" s="131">
        <f>IF(W69="","",IF($U$56&lt;&gt;$U$55,"",IF(OR($J$57="bb",$J$57=""),"0",$I$57)))</f>
      </c>
      <c r="Z69" s="131">
        <f>IF($W$45="","",IF($U$58&lt;&gt;$U$55,"",IF(OR($L$59="bb",$L$59=""),"0",$K$60)))</f>
      </c>
      <c r="AA69" s="131"/>
      <c r="AB69" s="131"/>
      <c r="AC69" s="131"/>
      <c r="AD69" s="131"/>
      <c r="AE69" s="143">
        <f t="shared" si="3"/>
        <v>0</v>
      </c>
      <c r="AF69" s="133">
        <f>IF($C55="","",'ž kvalifikacije 32'!$C$7)</f>
      </c>
      <c r="AG69" s="133">
        <f>UPPER(IF($D$55="","",VLOOKUP($D$55,'[1]ž kvalifikacije žrebna lista'!$A$7:$R$38,3)))</f>
      </c>
      <c r="AH69" s="133">
        <f>PROPER(IF($D$55="","",VLOOKUP($D$55,'[1]ž kvalifikacije žrebna lista'!$A$7:$R$38,4)))</f>
      </c>
      <c r="AI69" s="143">
        <f t="shared" si="4"/>
        <v>0</v>
      </c>
      <c r="AJ69" s="135"/>
    </row>
    <row r="70" spans="1:36" s="157" customFormat="1" ht="9" customHeight="1">
      <c r="A70" s="151"/>
      <c r="B70" s="151"/>
      <c r="C70" s="151"/>
      <c r="D70" s="151"/>
      <c r="E70" s="152"/>
      <c r="F70" s="152"/>
      <c r="G70" s="152"/>
      <c r="H70" s="152"/>
      <c r="I70" s="153"/>
      <c r="J70" s="154"/>
      <c r="K70" s="154"/>
      <c r="L70" s="154"/>
      <c r="M70" s="155"/>
      <c r="N70" s="154"/>
      <c r="O70" s="155"/>
      <c r="P70" s="154"/>
      <c r="Q70" s="155"/>
      <c r="R70" s="156"/>
      <c r="U70" s="30"/>
      <c r="V70" s="133">
        <v>26</v>
      </c>
      <c r="W70" s="133" t="str">
        <f>UPPER(IF($D$57="","",VLOOKUP($D$57,'[1]ž kvalifikacije žrebna lista'!$A$7:$R$38,3)))</f>
        <v>MERVIČ</v>
      </c>
      <c r="X70" s="133" t="str">
        <f>PROPER(IF($D$57="","",VLOOKUP($D$57,'[1]ž kvalifikacije žrebna lista'!$A$7:$R$38,4)))</f>
        <v>Ana</v>
      </c>
      <c r="Y70" s="131" t="str">
        <f>IF(W70="","",IF($U$56&lt;&gt;$U$57,"",IF(OR($J$57="bb",$J$57=""),"0",$I$55)))</f>
        <v>0</v>
      </c>
      <c r="Z70" s="131">
        <f>IF($W$45="","",IF($U$58&lt;&gt;$U$57,"",IF(OR($L$59="bb",$L$59=""),"0",$K$60)))</f>
        <v>10</v>
      </c>
      <c r="AA70" s="131"/>
      <c r="AB70" s="131"/>
      <c r="AC70" s="131"/>
      <c r="AD70" s="131"/>
      <c r="AE70" s="143">
        <f t="shared" si="3"/>
        <v>10</v>
      </c>
      <c r="AF70" s="133">
        <f>IF($C57="","",'ž kvalifikacije 32'!$C$7)</f>
        <v>6520</v>
      </c>
      <c r="AG70" s="133" t="str">
        <f>UPPER(IF($D$57="","",VLOOKUP($D$57,'[1]ž kvalifikacije žrebna lista'!$A$7:$R$38,3)))</f>
        <v>MERVIČ</v>
      </c>
      <c r="AH70" s="133" t="str">
        <f>PROPER(IF($D$57="","",VLOOKUP($D$57,'[1]ž kvalifikacije žrebna lista'!$A$7:$R$38,4)))</f>
        <v>Ana</v>
      </c>
      <c r="AI70" s="143">
        <f t="shared" si="4"/>
        <v>20</v>
      </c>
      <c r="AJ70" s="135"/>
    </row>
    <row r="71" spans="1:36" s="170" customFormat="1" ht="10.5" customHeight="1">
      <c r="A71" s="158" t="s">
        <v>36</v>
      </c>
      <c r="B71" s="159"/>
      <c r="C71" s="160"/>
      <c r="D71" s="161" t="s">
        <v>37</v>
      </c>
      <c r="E71" s="162" t="s">
        <v>65</v>
      </c>
      <c r="F71" s="161"/>
      <c r="G71" s="163" t="s">
        <v>39</v>
      </c>
      <c r="H71" s="164" t="s">
        <v>40</v>
      </c>
      <c r="I71" s="165" t="s">
        <v>37</v>
      </c>
      <c r="J71" s="162" t="s">
        <v>41</v>
      </c>
      <c r="K71" s="166"/>
      <c r="L71" s="167" t="s">
        <v>42</v>
      </c>
      <c r="M71" s="168"/>
      <c r="N71" s="169" t="s">
        <v>43</v>
      </c>
      <c r="O71" s="169"/>
      <c r="P71" s="422" t="s">
        <v>66</v>
      </c>
      <c r="Q71" s="423"/>
      <c r="U71" s="30"/>
      <c r="V71" s="133">
        <v>27</v>
      </c>
      <c r="W71" s="133">
        <f>UPPER(IF($D$59="","",VLOOKUP($D$59,'[1]ž kvalifikacije žrebna lista'!$A$7:$R$38,3)))</f>
      </c>
      <c r="X71" s="133">
        <f>PROPER(IF($D$59="","",VLOOKUP($D$59,'[1]ž kvalifikacije žrebna lista'!$A$7:$R$38,4)))</f>
      </c>
      <c r="Y71" s="131">
        <f>IF(W71="","",IF($U$60&lt;&gt;$U$59,"",IF(OR($J$61="bb",$J$61=""),"0",$I$61)))</f>
      </c>
      <c r="Z71" s="131">
        <f>IF($W$45="","",IF($U$58&lt;&gt;$U$59,"",IF(OR($L$59="bb",$L$59=""),"0",$K$56)))</f>
      </c>
      <c r="AA71" s="131"/>
      <c r="AB71" s="131"/>
      <c r="AC71" s="131"/>
      <c r="AD71" s="131"/>
      <c r="AE71" s="143">
        <f t="shared" si="3"/>
        <v>0</v>
      </c>
      <c r="AF71" s="133">
        <f>IF($C59="","",'ž kvalifikacije 32'!$C$7)</f>
        <v>6520</v>
      </c>
      <c r="AG71" s="133">
        <f>UPPER(IF($D$59="","",VLOOKUP($D$59,'[1]ž kvalifikacije žrebna lista'!$A$7:$R$38,3)))</f>
      </c>
      <c r="AH71" s="133">
        <f>PROPER(IF($D$59="","",VLOOKUP($D$59,'[1]ž kvalifikacije žrebna lista'!$A$7:$R$38,4)))</f>
      </c>
      <c r="AI71" s="143">
        <f t="shared" si="4"/>
        <v>0</v>
      </c>
      <c r="AJ71" s="171"/>
    </row>
    <row r="72" spans="1:36" s="170" customFormat="1" ht="9" customHeight="1">
      <c r="A72" s="172" t="s">
        <v>4</v>
      </c>
      <c r="B72" s="173"/>
      <c r="C72" s="174"/>
      <c r="D72" s="51">
        <v>1</v>
      </c>
      <c r="E72" s="175" t="str">
        <f>UPPER(IF($D72="","",VLOOKUP($D72,'[1]ž kvalifikacije žrebna lista'!$A$7:$R$38,3)))</f>
        <v>KLANEČEK</v>
      </c>
      <c r="F72" s="51"/>
      <c r="G72" s="176">
        <f>IF($D72="","",VLOOKUP($D72,'[1]ž kvalifikacije žrebna lista'!$A$7:$R$38,10))</f>
        <v>25</v>
      </c>
      <c r="H72" s="177">
        <f>IF($D72="","",VLOOKUP($D72,'[1]ž kvalifikacije žrebna lista'!$A$7:$R$38,14))</f>
        <v>20</v>
      </c>
      <c r="I72" s="178" t="s">
        <v>45</v>
      </c>
      <c r="J72" s="173"/>
      <c r="K72" s="173"/>
      <c r="L72" s="173"/>
      <c r="M72" s="179"/>
      <c r="N72" s="180" t="s">
        <v>67</v>
      </c>
      <c r="O72" s="181"/>
      <c r="P72" s="181"/>
      <c r="Q72" s="179"/>
      <c r="U72" s="30"/>
      <c r="V72" s="133">
        <v>28</v>
      </c>
      <c r="W72" s="133" t="str">
        <f>UPPER(IF($D$61="","",VLOOKUP($D$61,'[1]ž kvalifikacije žrebna lista'!$A$7:$R$38,3)))</f>
        <v>HANC</v>
      </c>
      <c r="X72" s="133" t="str">
        <f>PROPER(IF($D$61="","",VLOOKUP($D$61,'[1]ž kvalifikacije žrebna lista'!$A$7:$R$38,4)))</f>
        <v>Živa</v>
      </c>
      <c r="Y72" s="131" t="str">
        <f>IF(W72="","",IF($U$60&lt;&gt;$U$61,"",IF(OR($J$61="bb",$J$61=""),"0",$I$59)))</f>
        <v>0</v>
      </c>
      <c r="Z72" s="131">
        <f>IF($W$45="","",IF($U$58&lt;&gt;$U$61,"",IF(OR($L$59="bb",$L$59=""),"0",$K$56)))</f>
      </c>
      <c r="AA72" s="131"/>
      <c r="AB72" s="131"/>
      <c r="AC72" s="131"/>
      <c r="AD72" s="131"/>
      <c r="AE72" s="143">
        <f t="shared" si="3"/>
        <v>0</v>
      </c>
      <c r="AF72" s="133">
        <f>IF($C61="","",'ž kvalifikacije 32'!$C$7)</f>
        <v>6520</v>
      </c>
      <c r="AG72" s="133" t="str">
        <f>UPPER(IF($D$61="","",VLOOKUP($D$61,'[1]ž kvalifikacije žrebna lista'!$A$7:$R$38,3)))</f>
        <v>HANC</v>
      </c>
      <c r="AH72" s="133" t="str">
        <f>PROPER(IF($D$61="","",VLOOKUP($D$61,'[1]ž kvalifikacije žrebna lista'!$A$7:$R$38,4)))</f>
        <v>Živa</v>
      </c>
      <c r="AI72" s="143">
        <f t="shared" si="4"/>
        <v>8</v>
      </c>
      <c r="AJ72" s="171"/>
    </row>
    <row r="73" spans="1:36" s="170" customFormat="1" ht="9" customHeight="1">
      <c r="A73" s="424"/>
      <c r="B73" s="425"/>
      <c r="C73" s="426"/>
      <c r="D73" s="51">
        <v>2</v>
      </c>
      <c r="E73" s="175" t="str">
        <f>UPPER(IF($D73="","",VLOOKUP($D73,'[1]ž kvalifikacije žrebna lista'!$A$7:$R$38,3)))</f>
        <v>FIŠER</v>
      </c>
      <c r="F73" s="51"/>
      <c r="G73" s="176">
        <f>IF($D73="","",VLOOKUP($D73,'[1]ž kvalifikacije žrebna lista'!$A$7:$R$38,10))</f>
        <v>58</v>
      </c>
      <c r="H73" s="177">
        <f>IF($D73="","",VLOOKUP($D73,'[1]ž kvalifikacije žrebna lista'!$A$7:$R$38,14))</f>
        <v>10</v>
      </c>
      <c r="I73" s="182" t="s">
        <v>47</v>
      </c>
      <c r="J73" s="173"/>
      <c r="K73" s="173"/>
      <c r="L73" s="173"/>
      <c r="M73" s="179"/>
      <c r="N73" s="183"/>
      <c r="O73" s="184"/>
      <c r="P73" s="185"/>
      <c r="Q73" s="186"/>
      <c r="U73" s="30"/>
      <c r="V73" s="133">
        <v>29</v>
      </c>
      <c r="W73" s="133">
        <f>UPPER(IF($D$63="","",VLOOKUP($D$63,'[1]ž kvalifikacije žrebna lista'!$A$7:$R$38,3)))</f>
      </c>
      <c r="X73" s="133">
        <f>PROPER(IF($D$63="","",VLOOKUP($D$63,'[1]ž kvalifikacije žrebna lista'!$A$7:$R$38,4)))</f>
      </c>
      <c r="Y73" s="131">
        <f>IF(W73="","",IF($U$64&lt;&gt;$U$63,"",IF(OR($J$65="bb",$J$65=""),"0",$I$65)))</f>
      </c>
      <c r="Z73" s="131">
        <f>IF($W$45="","",IF($U$66&lt;&gt;$U$63,"",IF(OR($L$67="bb",$L$67=""),"0",$K$68)))</f>
      </c>
      <c r="AA73" s="131"/>
      <c r="AB73" s="131"/>
      <c r="AC73" s="131"/>
      <c r="AD73" s="131"/>
      <c r="AE73" s="143">
        <f t="shared" si="3"/>
        <v>0</v>
      </c>
      <c r="AF73" s="133">
        <f>IF($C63="","",'ž kvalifikacije 32'!$C$7)</f>
      </c>
      <c r="AG73" s="133">
        <f>UPPER(IF($D$63="","",VLOOKUP($D$63,'[1]ž kvalifikacije žrebna lista'!$A$7:$R$38,3)))</f>
      </c>
      <c r="AH73" s="133">
        <f>PROPER(IF($D$63="","",VLOOKUP($D$63,'[1]ž kvalifikacije žrebna lista'!$A$7:$R$38,4)))</f>
      </c>
      <c r="AI73" s="143">
        <f t="shared" si="4"/>
        <v>0</v>
      </c>
      <c r="AJ73" s="171"/>
    </row>
    <row r="74" spans="1:36" s="170" customFormat="1" ht="9" customHeight="1">
      <c r="A74" s="187"/>
      <c r="B74" s="188"/>
      <c r="C74" s="189"/>
      <c r="D74" s="51">
        <v>3</v>
      </c>
      <c r="E74" s="175" t="str">
        <f>UPPER(IF($D74="","",VLOOKUP($D74,'[1]ž kvalifikacije žrebna lista'!$A$7:$R$38,3)))</f>
        <v>ZUKIČ</v>
      </c>
      <c r="F74" s="51"/>
      <c r="G74" s="176">
        <f>IF($D74="","",VLOOKUP($D74,'[1]ž kvalifikacije žrebna lista'!$A$7:$R$38,10))</f>
        <v>59</v>
      </c>
      <c r="H74" s="177">
        <f>IF($D74="","",VLOOKUP($D74,'[1]ž kvalifikacije žrebna lista'!$A$7:$R$38,14))</f>
        <v>10</v>
      </c>
      <c r="I74" s="182" t="s">
        <v>49</v>
      </c>
      <c r="J74" s="173"/>
      <c r="K74" s="173"/>
      <c r="L74" s="173"/>
      <c r="M74" s="179"/>
      <c r="N74" s="180" t="s">
        <v>68</v>
      </c>
      <c r="O74" s="181"/>
      <c r="P74" s="181"/>
      <c r="Q74" s="179"/>
      <c r="U74" s="30"/>
      <c r="V74" s="133">
        <v>30</v>
      </c>
      <c r="W74" s="133" t="str">
        <f>UPPER(IF($D$65="","",VLOOKUP($D$65,'[1]ž kvalifikacije žrebna lista'!$A$7:$R$38,3)))</f>
        <v>DEVETAK</v>
      </c>
      <c r="X74" s="133" t="str">
        <f>PROPER(IF($D$65="","",VLOOKUP($D$65,'[1]ž kvalifikacije žrebna lista'!$A$7:$R$38,4)))</f>
        <v>Martina</v>
      </c>
      <c r="Y74" s="131" t="str">
        <f>IF(W74="","",IF($U$64&lt;&gt;$U$65,"",IF(OR($J$65="bb",$J$65=""),"0",$I$63)))</f>
        <v>0</v>
      </c>
      <c r="Z74" s="131">
        <f>IF($W$45="","",IF($U$66&lt;&gt;$U$65,"",IF(OR($L$67="bb",$L$67=""),"0",$K$68)))</f>
        <v>10</v>
      </c>
      <c r="AA74" s="131"/>
      <c r="AB74" s="131"/>
      <c r="AC74" s="131"/>
      <c r="AD74" s="131"/>
      <c r="AE74" s="143">
        <f t="shared" si="3"/>
        <v>10</v>
      </c>
      <c r="AF74" s="133">
        <f>IF($C65="","",'ž kvalifikacije 32'!$C$7)</f>
        <v>6520</v>
      </c>
      <c r="AG74" s="133" t="str">
        <f>UPPER(IF($D$65="","",VLOOKUP($D$65,'[1]ž kvalifikacije žrebna lista'!$A$7:$R$38,3)))</f>
        <v>DEVETAK</v>
      </c>
      <c r="AH74" s="133" t="str">
        <f>PROPER(IF($D$65="","",VLOOKUP($D$65,'[1]ž kvalifikacije žrebna lista'!$A$7:$R$38,4)))</f>
        <v>Martina</v>
      </c>
      <c r="AI74" s="143">
        <f t="shared" si="4"/>
        <v>20</v>
      </c>
      <c r="AJ74" s="171"/>
    </row>
    <row r="75" spans="1:36" s="170" customFormat="1" ht="9" customHeight="1">
      <c r="A75" s="190"/>
      <c r="B75" s="50"/>
      <c r="C75" s="174"/>
      <c r="D75" s="51">
        <v>4</v>
      </c>
      <c r="E75" s="175" t="str">
        <f>UPPER(IF($D75="","",VLOOKUP($D75,'[1]ž kvalifikacije žrebna lista'!$A$7:$R$38,3)))</f>
        <v>SEFIČ</v>
      </c>
      <c r="F75" s="51"/>
      <c r="G75" s="176">
        <f>IF($D75="","",VLOOKUP($D75,'[1]ž kvalifikacije žrebna lista'!$A$7:$R$38,10))</f>
        <v>60</v>
      </c>
      <c r="H75" s="177">
        <f>IF($D75="","",VLOOKUP($D75,'[1]ž kvalifikacije žrebna lista'!$A$7:$R$38,14))</f>
        <v>10</v>
      </c>
      <c r="I75" s="182" t="s">
        <v>51</v>
      </c>
      <c r="J75" s="173"/>
      <c r="K75" s="173"/>
      <c r="L75" s="173"/>
      <c r="M75" s="179"/>
      <c r="N75" s="173"/>
      <c r="O75" s="54"/>
      <c r="P75" s="173"/>
      <c r="Q75" s="179"/>
      <c r="U75" s="30"/>
      <c r="V75" s="133">
        <v>31</v>
      </c>
      <c r="W75" s="133">
        <f>UPPER(IF($D$67="","",VLOOKUP($D$67,'[1]ž kvalifikacije žrebna lista'!$A$7:$R$38,3)))</f>
      </c>
      <c r="X75" s="133">
        <f>PROPER(IF($D$67="","",VLOOKUP($D$67,'[1]ž kvalifikacije žrebna lista'!$A$7:$R$38,4)))</f>
      </c>
      <c r="Y75" s="131">
        <f>IF(W75="","",IF($U$68&lt;&gt;$U$67,"",IF(OR($J$69="bb",$J$69=""),"0",$I$69)))</f>
      </c>
      <c r="Z75" s="131">
        <f>IF($W$45="","",IF($U$66&lt;&gt;$U$67,"",IF(OR($L$67="bb",$L$67=""),"0",$K$64)))</f>
      </c>
      <c r="AA75" s="131"/>
      <c r="AB75" s="131"/>
      <c r="AC75" s="131"/>
      <c r="AD75" s="131"/>
      <c r="AE75" s="143">
        <f t="shared" si="3"/>
        <v>0</v>
      </c>
      <c r="AF75" s="133">
        <f>IF($C67="","",'ž kvalifikacije 32'!$C$7)</f>
      </c>
      <c r="AG75" s="133">
        <f>UPPER(IF($D$67="","",VLOOKUP($D$67,'[1]ž kvalifikacije žrebna lista'!$A$7:$R$38,3)))</f>
      </c>
      <c r="AH75" s="133">
        <f>PROPER(IF($D$67="","",VLOOKUP($D$67,'[1]ž kvalifikacije žrebna lista'!$A$7:$R$38,4)))</f>
      </c>
      <c r="AI75" s="143">
        <f t="shared" si="4"/>
        <v>0</v>
      </c>
      <c r="AJ75" s="171"/>
    </row>
    <row r="76" spans="1:36" s="170" customFormat="1" ht="9" customHeight="1">
      <c r="A76" s="191"/>
      <c r="B76" s="192"/>
      <c r="C76" s="193"/>
      <c r="D76" s="51">
        <v>5</v>
      </c>
      <c r="E76" s="175" t="str">
        <f>UPPER(IF($D76="","",VLOOKUP($D76,'[1]ž kvalifikacije žrebna lista'!$A$7:$R$38,3)))</f>
        <v>TURNŠEK</v>
      </c>
      <c r="F76" s="51"/>
      <c r="G76" s="176">
        <f>IF($D76="","",VLOOKUP($D76,'[1]ž kvalifikacije žrebna lista'!$A$7:$R$38,10))</f>
        <v>73</v>
      </c>
      <c r="H76" s="177">
        <f>IF($D76="","",VLOOKUP($D76,'[1]ž kvalifikacije žrebna lista'!$A$7:$R$38,14))</f>
        <v>10</v>
      </c>
      <c r="I76" s="182" t="s">
        <v>52</v>
      </c>
      <c r="J76" s="173"/>
      <c r="K76" s="173"/>
      <c r="L76" s="173"/>
      <c r="M76" s="179"/>
      <c r="N76" s="185" t="s">
        <v>53</v>
      </c>
      <c r="O76" s="184"/>
      <c r="P76" s="185"/>
      <c r="Q76" s="186"/>
      <c r="U76" s="30"/>
      <c r="V76" s="133">
        <v>32</v>
      </c>
      <c r="W76" s="133" t="str">
        <f>UPPER(IF($D$69="","",VLOOKUP($D$69,'[1]ž kvalifikacije žrebna lista'!$A$7:$R$38,3)))</f>
        <v>HANC</v>
      </c>
      <c r="X76" s="133" t="str">
        <f>PROPER(IF($D$69="","",VLOOKUP($D$69,'[1]ž kvalifikacije žrebna lista'!$A$7:$R$38,4)))</f>
        <v>Veronika</v>
      </c>
      <c r="Y76" s="131" t="str">
        <f>IF(W76="","",IF($U$68&lt;&gt;$U$69,"",IF(OR($J$69="bb",$J$69=""),"0",$I$67)))</f>
        <v>0</v>
      </c>
      <c r="Z76" s="131">
        <f>IF($W$45="","",IF($U$66&lt;&gt;$U$69,"",IF(OR($L$67="bb",$L$67=""),"0",$K$64)))</f>
      </c>
      <c r="AA76" s="131"/>
      <c r="AB76" s="131"/>
      <c r="AC76" s="131"/>
      <c r="AD76" s="131"/>
      <c r="AE76" s="143">
        <f t="shared" si="3"/>
        <v>0</v>
      </c>
      <c r="AF76" s="133">
        <f>IF($C69="","",'ž kvalifikacije 32'!$C$7)</f>
        <v>6520</v>
      </c>
      <c r="AG76" s="133" t="str">
        <f>UPPER(IF($D$69="","",VLOOKUP($D$69,'[1]ž kvalifikacije žrebna lista'!$A$7:$R$38,3)))</f>
        <v>HANC</v>
      </c>
      <c r="AH76" s="133" t="str">
        <f>PROPER(IF($D$69="","",VLOOKUP($D$69,'[1]ž kvalifikacije žrebna lista'!$A$7:$R$38,4)))</f>
        <v>Veronika</v>
      </c>
      <c r="AI76" s="143">
        <f t="shared" si="4"/>
        <v>8</v>
      </c>
      <c r="AJ76" s="171"/>
    </row>
    <row r="77" spans="1:36" s="170" customFormat="1" ht="9" customHeight="1">
      <c r="A77" s="172"/>
      <c r="B77" s="173"/>
      <c r="C77" s="174"/>
      <c r="D77" s="51"/>
      <c r="E77" s="175"/>
      <c r="F77" s="51"/>
      <c r="G77" s="176"/>
      <c r="H77" s="177"/>
      <c r="I77" s="182" t="s">
        <v>54</v>
      </c>
      <c r="J77" s="173"/>
      <c r="K77" s="173"/>
      <c r="L77" s="173"/>
      <c r="M77" s="179"/>
      <c r="N77" s="180" t="s">
        <v>53</v>
      </c>
      <c r="O77" s="181"/>
      <c r="P77" s="181"/>
      <c r="Q77" s="179"/>
      <c r="U77" s="220"/>
      <c r="V77" s="171"/>
      <c r="W77" s="171"/>
      <c r="X77" s="171"/>
      <c r="Y77" s="131">
        <f>COUNTIF(Y45:Y76,"&gt;0")</f>
        <v>0</v>
      </c>
      <c r="Z77" s="131">
        <f>COUNTIF(Z45:Z76,"&gt;0")</f>
        <v>2</v>
      </c>
      <c r="AA77" s="171"/>
      <c r="AB77" s="171"/>
      <c r="AC77" s="171"/>
      <c r="AD77" s="171"/>
      <c r="AE77" s="131">
        <f>COUNTIF(AE45:AE76,"&gt;0")</f>
        <v>2</v>
      </c>
      <c r="AF77" s="171"/>
      <c r="AG77" s="171"/>
      <c r="AH77" s="171"/>
      <c r="AI77" s="131">
        <f>COUNTIF(AI45:AI76,"&gt;0")</f>
        <v>10</v>
      </c>
      <c r="AJ77" s="171"/>
    </row>
    <row r="78" spans="1:36" s="170" customFormat="1" ht="9" customHeight="1">
      <c r="A78" s="172"/>
      <c r="B78" s="173"/>
      <c r="C78" s="195"/>
      <c r="D78" s="51"/>
      <c r="E78" s="175"/>
      <c r="F78" s="51"/>
      <c r="G78" s="176"/>
      <c r="H78" s="177"/>
      <c r="I78" s="182" t="s">
        <v>55</v>
      </c>
      <c r="J78" s="173"/>
      <c r="K78" s="173"/>
      <c r="L78" s="173"/>
      <c r="M78" s="179"/>
      <c r="N78" s="173" t="s">
        <v>7</v>
      </c>
      <c r="O78" s="54"/>
      <c r="P78" s="417" t="str">
        <f>'[1]vnos podatkov'!$B$10</f>
        <v>Mladen Sredojevič</v>
      </c>
      <c r="Q78" s="418"/>
      <c r="U78" s="220"/>
      <c r="V78" s="171"/>
      <c r="W78" s="171"/>
      <c r="X78" s="171"/>
      <c r="Y78" s="171"/>
      <c r="Z78" s="171"/>
      <c r="AA78" s="171"/>
      <c r="AB78" s="171"/>
      <c r="AC78" s="171"/>
      <c r="AD78" s="171"/>
      <c r="AE78" s="171"/>
      <c r="AF78" s="171"/>
      <c r="AG78" s="171"/>
      <c r="AH78" s="171"/>
      <c r="AI78" s="171"/>
      <c r="AJ78" s="171"/>
    </row>
    <row r="79" spans="1:36" s="170" customFormat="1" ht="9" customHeight="1">
      <c r="A79" s="196"/>
      <c r="B79" s="185"/>
      <c r="C79" s="197"/>
      <c r="D79" s="198"/>
      <c r="E79" s="183"/>
      <c r="F79" s="198"/>
      <c r="G79" s="199"/>
      <c r="H79" s="200"/>
      <c r="I79" s="201" t="s">
        <v>56</v>
      </c>
      <c r="J79" s="185" t="s">
        <v>57</v>
      </c>
      <c r="K79" s="185"/>
      <c r="L79" s="185"/>
      <c r="M79" s="186"/>
      <c r="N79" s="185" t="s">
        <v>58</v>
      </c>
      <c r="O79" s="184"/>
      <c r="P79" s="413" t="str">
        <f>'[1]vnos podatkov'!$E$10</f>
        <v>Anja Regent</v>
      </c>
      <c r="Q79" s="414"/>
      <c r="U79" s="220"/>
      <c r="V79" s="171"/>
      <c r="W79" s="171"/>
      <c r="X79" s="171"/>
      <c r="Y79" s="171"/>
      <c r="Z79" s="171"/>
      <c r="AA79" s="171"/>
      <c r="AB79" s="171"/>
      <c r="AC79" s="171"/>
      <c r="AD79" s="171"/>
      <c r="AE79" s="171"/>
      <c r="AF79" s="171"/>
      <c r="AG79" s="171"/>
      <c r="AH79" s="171"/>
      <c r="AI79" s="171"/>
      <c r="AJ79" s="171"/>
    </row>
  </sheetData>
  <sheetProtection/>
  <mergeCells count="7">
    <mergeCell ref="V41:AA41"/>
    <mergeCell ref="P78:Q78"/>
    <mergeCell ref="P79:Q79"/>
    <mergeCell ref="A73:C73"/>
    <mergeCell ref="P71:Q71"/>
    <mergeCell ref="F3:G3"/>
    <mergeCell ref="F4:G4"/>
  </mergeCells>
  <conditionalFormatting sqref="G39 G41 G7 G9 G11 G13 G15 G17 G19 G23 G43 G45 G47 G49 G51 G53 G21 G25 G27 G29 G31 G33 G35 G37 G55 G57 G59 G61 G63 G65 G67 G69">
    <cfRule type="expression" priority="1" dxfId="10" stopIfTrue="1">
      <formula>AND($D7&lt;9,$C7&gt;0)</formula>
    </cfRule>
  </conditionalFormatting>
  <conditionalFormatting sqref="L10 L18 L26 L34 L42 L50 L58 L66 N14 N30 N46 N62 J60 J68 J52 J20 J56 J64 J32 J36 J40 J44 J48 J16 J12 J8 J24 J28">
    <cfRule type="expression" priority="2" dxfId="10" stopIfTrue="1">
      <formula>I8="as"</formula>
    </cfRule>
    <cfRule type="expression" priority="3" dxfId="10" stopIfTrue="1">
      <formula>I8="bs"</formula>
    </cfRule>
  </conditionalFormatting>
  <conditionalFormatting sqref="B7 B9 B11 B13 B15 B17 B19 B21 B23 B25 B27 B29 B31 B33 B35 B37 B39 B41 B43 B45 B47 B49 B51 B53 B55 B57 B59 B61 B63 B65 B67 B69">
    <cfRule type="cellIs" priority="4" dxfId="8" operator="equal" stopIfTrue="1">
      <formula>"QA"</formula>
    </cfRule>
    <cfRule type="cellIs" priority="5" dxfId="8" operator="equal" stopIfTrue="1">
      <formula>"DA"</formula>
    </cfRule>
  </conditionalFormatting>
  <conditionalFormatting sqref="I8 I12 I16 I20 I24 I28 I32 I36 I40 I44 I48 I52 I56 I60 I64 I68 K66 K58 K50 K42 K34 K26 K18 K10">
    <cfRule type="expression" priority="6" dxfId="7" stopIfTrue="1">
      <formula>$N$1="CU"</formula>
    </cfRule>
  </conditionalFormatting>
  <conditionalFormatting sqref="M62">
    <cfRule type="expression" priority="7" dxfId="5" stopIfTrue="1">
      <formula>$N$1="CU"</formula>
    </cfRule>
  </conditionalFormatting>
  <conditionalFormatting sqref="M46 M30 M14">
    <cfRule type="expression" priority="8" dxfId="5" stopIfTrue="1">
      <formula>$N$1="CU"</formula>
    </cfRule>
  </conditionalFormatting>
  <conditionalFormatting sqref="N19 H8 H12 H16 H20 H24 H28 H32 H36 H40 H44 H48 H52 H56 H60 H64 H68 J66 J58 J50 J42 J34 J26 J18 J10">
    <cfRule type="expression" priority="9" dxfId="4" stopIfTrue="1">
      <formula>AND($N$1="CU",H8="Sodnik")</formula>
    </cfRule>
    <cfRule type="expression" priority="10" dxfId="3" stopIfTrue="1">
      <formula>AND($N$1="CU",H8&lt;&gt;"Sodnik",I8&lt;&gt;"")</formula>
    </cfRule>
    <cfRule type="expression" priority="11" dxfId="2" stopIfTrue="1">
      <formula>AND($N$1="CU",H8&lt;&gt;"Sodnik")</formula>
    </cfRule>
  </conditionalFormatting>
  <conditionalFormatting sqref="D9 D11 D13 D67 D17 D19 D25 D27 D29 D65 D33 D35 D41 D43 D45 D61 D49 D51 D57 D59 D53 D37 D21 D69">
    <cfRule type="expression" priority="12" dxfId="1" stopIfTrue="1">
      <formula>$D9&gt;0</formula>
    </cfRule>
  </conditionalFormatting>
  <conditionalFormatting sqref="D7 D15 D23 D31 D39 D47 D55 D63">
    <cfRule type="expression" priority="13" dxfId="0" stopIfTrue="1">
      <formula>$D7&lt;&gt;""</formula>
    </cfRule>
  </conditionalFormatting>
  <dataValidations count="1">
    <dataValidation type="list" allowBlank="1" showInputMessage="1" sqref="N19 H20 H8 H24 H12 H36 H16 H40 H44 H48 H28 H32 H52 H56 H60 H64 H68 J66 J58 J50 J42 J34 J26 J18 J10">
      <formula1>$T$7:$T$16</formula1>
    </dataValidation>
  </dataValidations>
  <printOptions horizontalCentered="1"/>
  <pageMargins left="0.35" right="0.35" top="0.39" bottom="0.39" header="0" footer="0"/>
  <pageSetup fitToHeight="1" fitToWidth="1" horizontalDpi="360" verticalDpi="36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dc:creator>
  <cp:keywords/>
  <dc:description/>
  <cp:lastModifiedBy>Anja Regent</cp:lastModifiedBy>
  <cp:lastPrinted>2011-07-22T14:42:58Z</cp:lastPrinted>
  <dcterms:created xsi:type="dcterms:W3CDTF">2011-07-20T17:12:32Z</dcterms:created>
  <dcterms:modified xsi:type="dcterms:W3CDTF">2011-07-23T20:46:33Z</dcterms:modified>
  <cp:category/>
  <cp:version/>
  <cp:contentType/>
  <cp:contentStatus/>
</cp:coreProperties>
</file>