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485" activeTab="0"/>
  </bookViews>
  <sheets>
    <sheet name="m glavni 32" sheetId="1" r:id="rId1"/>
  </sheets>
  <externalReferences>
    <externalReference r:id="rId4"/>
  </externalReferences>
  <definedNames>
    <definedName name="_Order1" hidden="1">255</definedName>
    <definedName name="A">'[1]m masters 12'!#REF!</definedName>
    <definedName name="B">'[1]m masters 12'!#REF!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'm glavni 32'!$A$1:$Q$79</definedName>
  </definedNames>
  <calcPr fullCalcOnLoad="1" iterate="1" iterateCount="1" iterateDelta="0.001"/>
</workbook>
</file>

<file path=xl/comments1.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List>
</comments>
</file>

<file path=xl/sharedStrings.xml><?xml version="1.0" encoding="utf-8"?>
<sst xmlns="http://schemas.openxmlformats.org/spreadsheetml/2006/main" count="195" uniqueCount="82">
  <si>
    <t>GLAVNI TURNIR</t>
  </si>
  <si>
    <t/>
  </si>
  <si>
    <t>Moški</t>
  </si>
  <si>
    <t>vrsta turnirja</t>
  </si>
  <si>
    <t>datum</t>
  </si>
  <si>
    <t>klub</t>
  </si>
  <si>
    <t>rang turnirja</t>
  </si>
  <si>
    <t>vodja tekmovanja</t>
  </si>
  <si>
    <t>ševilo igralcev</t>
  </si>
  <si>
    <t>vrhovni  sodnik</t>
  </si>
  <si>
    <t>TOČKE GLAVNI TURNIR - UVRSTITEV</t>
  </si>
  <si>
    <t>status</t>
  </si>
  <si>
    <t>šifra</t>
  </si>
  <si>
    <t>nosilec</t>
  </si>
  <si>
    <t>priimek</t>
  </si>
  <si>
    <t>ime</t>
  </si>
  <si>
    <t>2. kolo</t>
  </si>
  <si>
    <t>četrtfinale</t>
  </si>
  <si>
    <t>polfinale</t>
  </si>
  <si>
    <t>finale</t>
  </si>
  <si>
    <t>zap. št.</t>
  </si>
  <si>
    <t>1.kolo</t>
  </si>
  <si>
    <t>2.kolo</t>
  </si>
  <si>
    <t>finalist</t>
  </si>
  <si>
    <t>zmagovalec</t>
  </si>
  <si>
    <t>skupaj točk</t>
  </si>
  <si>
    <t>D</t>
  </si>
  <si>
    <t>Sodnik</t>
  </si>
  <si>
    <t>a</t>
  </si>
  <si>
    <t>PROSTO</t>
  </si>
  <si>
    <t>64 64</t>
  </si>
  <si>
    <t>B</t>
  </si>
  <si>
    <t>61 76(4)</t>
  </si>
  <si>
    <t>b</t>
  </si>
  <si>
    <t>64 61</t>
  </si>
  <si>
    <t>A</t>
  </si>
  <si>
    <t>64 62</t>
  </si>
  <si>
    <t>63 61</t>
  </si>
  <si>
    <t>61 62</t>
  </si>
  <si>
    <t>60 61</t>
  </si>
  <si>
    <t>36 63 60</t>
  </si>
  <si>
    <t>TOČKE GLAVNI TURNIR - ZMAGE NAD NASPROTNIKI</t>
  </si>
  <si>
    <t>TOČKE GLAVNI TURNIR - SKUPAJ</t>
  </si>
  <si>
    <t>63 60</t>
  </si>
  <si>
    <t>60 60</t>
  </si>
  <si>
    <t>61 63</t>
  </si>
  <si>
    <t>62 62</t>
  </si>
  <si>
    <t>TOČKE TZS</t>
  </si>
  <si>
    <t>61 64</t>
  </si>
  <si>
    <t>Rang turnirja:</t>
  </si>
  <si>
    <t>1. mesto</t>
  </si>
  <si>
    <t>2. mesto</t>
  </si>
  <si>
    <t>3. - 4. mesto</t>
  </si>
  <si>
    <t>64 75</t>
  </si>
  <si>
    <t>5. - 8. mesto</t>
  </si>
  <si>
    <t>9. - 16. mesto</t>
  </si>
  <si>
    <t>17.- 32. mesto</t>
  </si>
  <si>
    <t>jakostna lestvica</t>
  </si>
  <si>
    <t>#</t>
  </si>
  <si>
    <t>nosilci</t>
  </si>
  <si>
    <t>mesto TZS</t>
  </si>
  <si>
    <t>jakost</t>
  </si>
  <si>
    <t>srečni poraženec</t>
  </si>
  <si>
    <t>namesto</t>
  </si>
  <si>
    <t>čas žrebanja:</t>
  </si>
  <si>
    <t>1.7.2011 ob 13.30</t>
  </si>
  <si>
    <t>1</t>
  </si>
  <si>
    <t>zadnji neposredno uvrščeni igralec:</t>
  </si>
  <si>
    <t>1.6.-31.7</t>
  </si>
  <si>
    <t>2</t>
  </si>
  <si>
    <t>vsi</t>
  </si>
  <si>
    <t>3</t>
  </si>
  <si>
    <t>podpis</t>
  </si>
  <si>
    <t>4</t>
  </si>
  <si>
    <t>predstavnik igralcev:</t>
  </si>
  <si>
    <t>5</t>
  </si>
  <si>
    <t>Juvan Mark</t>
  </si>
  <si>
    <t>6</t>
  </si>
  <si>
    <t>7</t>
  </si>
  <si>
    <t>vodja tekmovanja:</t>
  </si>
  <si>
    <t>8</t>
  </si>
  <si>
    <t>vrhovni sodnik:</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</si>
</sst>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quot;$&quot;* #,##0.00_-;_-&quot;$&quot;* &quot;-&quot;??_-;_-@_-"/>
    <numFmt numFmtId="165" formatCode="0.0"/>
    <numFmt numFmtId="166" formatCode="\$#,##0\ ;\(\$#,##0\)"/>
  </numFmts>
  <fonts count="90">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18"/>
      <name val="Arial"/>
      <family val="2"/>
    </font>
    <font>
      <b/>
      <sz val="20"/>
      <name val="Arial"/>
      <family val="2"/>
    </font>
    <font>
      <sz val="20"/>
      <name val="Arial"/>
      <family val="2"/>
    </font>
    <font>
      <sz val="20"/>
      <color indexed="9"/>
      <name val="Arial"/>
      <family val="2"/>
    </font>
    <font>
      <b/>
      <sz val="12"/>
      <name val="Arial"/>
      <family val="2"/>
    </font>
    <font>
      <b/>
      <sz val="9"/>
      <color indexed="9"/>
      <name val="Arial"/>
      <family val="2"/>
    </font>
    <font>
      <b/>
      <sz val="10"/>
      <name val="Arial"/>
      <family val="2"/>
    </font>
    <font>
      <sz val="10"/>
      <color indexed="9"/>
      <name val="Arial"/>
      <family val="2"/>
    </font>
    <font>
      <sz val="18"/>
      <name val="Arial"/>
      <family val="2"/>
    </font>
    <font>
      <b/>
      <i/>
      <sz val="10"/>
      <name val="Arial"/>
      <family val="2"/>
    </font>
    <font>
      <b/>
      <sz val="9"/>
      <name val="Arial"/>
      <family val="2"/>
    </font>
    <font>
      <sz val="8"/>
      <name val="Arial"/>
      <family val="2"/>
    </font>
    <font>
      <b/>
      <sz val="7"/>
      <name val="Arial"/>
      <family val="2"/>
    </font>
    <font>
      <b/>
      <sz val="7"/>
      <color indexed="9"/>
      <name val="Arial"/>
      <family val="2"/>
    </font>
    <font>
      <sz val="6"/>
      <name val="Arial"/>
      <family val="2"/>
    </font>
    <font>
      <b/>
      <sz val="8"/>
      <name val="Arial"/>
      <family val="2"/>
    </font>
    <font>
      <sz val="8"/>
      <color indexed="8"/>
      <name val="Arial"/>
      <family val="2"/>
    </font>
    <font>
      <sz val="8"/>
      <color indexed="9"/>
      <name val="Arial"/>
      <family val="2"/>
    </font>
    <font>
      <b/>
      <sz val="10"/>
      <color indexed="9"/>
      <name val="Arial"/>
      <family val="2"/>
    </font>
    <font>
      <sz val="7"/>
      <name val="Arial"/>
      <family val="2"/>
    </font>
    <font>
      <sz val="7"/>
      <color indexed="9"/>
      <name val="Arial"/>
      <family val="2"/>
    </font>
    <font>
      <b/>
      <sz val="6"/>
      <name val="Arial"/>
      <family val="2"/>
    </font>
    <font>
      <sz val="6"/>
      <color indexed="9"/>
      <name val="Arial"/>
      <family val="2"/>
    </font>
    <font>
      <b/>
      <sz val="8.5"/>
      <name val="Arial"/>
      <family val="2"/>
    </font>
    <font>
      <sz val="8.5"/>
      <color indexed="42"/>
      <name val="Arial"/>
      <family val="2"/>
    </font>
    <font>
      <sz val="8.5"/>
      <color indexed="9"/>
      <name val="Arial"/>
      <family val="2"/>
    </font>
    <font>
      <sz val="8.5"/>
      <color indexed="8"/>
      <name val="Arial"/>
      <family val="2"/>
    </font>
    <font>
      <sz val="8.5"/>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color indexed="9"/>
      <name val="Arial"/>
      <family val="2"/>
    </font>
    <font>
      <b/>
      <sz val="8"/>
      <color indexed="9"/>
      <name val="Arial"/>
      <family val="2"/>
    </font>
    <font>
      <b/>
      <u val="single"/>
      <sz val="10"/>
      <name val="Arial"/>
      <family val="2"/>
    </font>
    <font>
      <sz val="11"/>
      <name val="Arial"/>
      <family val="2"/>
    </font>
    <font>
      <sz val="14"/>
      <name val="Arial"/>
      <family val="2"/>
    </font>
    <font>
      <sz val="14"/>
      <color indexed="9"/>
      <name val="Arial"/>
      <family val="2"/>
    </font>
    <font>
      <b/>
      <sz val="7"/>
      <color indexed="8"/>
      <name val="Arial"/>
      <family val="2"/>
    </font>
    <font>
      <b/>
      <sz val="8"/>
      <name val="Tahoma"/>
      <family val="2"/>
    </font>
    <font>
      <sz val="9"/>
      <name val="Tahoma"/>
      <family val="2"/>
    </font>
    <font>
      <sz val="8"/>
      <color indexed="10"/>
      <name val="Tahoma"/>
      <family val="2"/>
    </font>
    <font>
      <sz val="8"/>
      <name val="Tahoma"/>
      <family val="2"/>
    </font>
    <font>
      <b/>
      <sz val="8"/>
      <color indexed="10"/>
      <name val="Tahoma"/>
      <family val="2"/>
    </font>
    <font>
      <sz val="12"/>
      <color indexed="24"/>
      <name val="Arial"/>
      <family val="2"/>
    </font>
    <font>
      <sz val="18"/>
      <color indexed="24"/>
      <name val="Arial"/>
      <family val="2"/>
    </font>
    <font>
      <sz val="24"/>
      <color indexed="24"/>
      <name val="Times New Roman"/>
      <family val="1"/>
    </font>
    <font>
      <sz val="10"/>
      <name val="Verdana"/>
      <family val="2"/>
    </font>
    <font>
      <sz val="16"/>
      <color indexed="24"/>
      <name val="Times New Roman"/>
      <family val="1"/>
    </font>
    <font>
      <sz val="12"/>
      <color indexed="24"/>
      <name val="Times New Roman"/>
      <family val="1"/>
    </font>
    <font>
      <sz val="14"/>
      <color indexed="24"/>
      <name val="Times New Roman"/>
      <family val="1"/>
    </font>
    <font>
      <sz val="10"/>
      <color indexed="24"/>
      <name val="Helvetica"/>
      <family val="0"/>
    </font>
    <font>
      <sz val="10"/>
      <name val="Arial CE"/>
      <family val="0"/>
    </font>
    <font>
      <sz val="10"/>
      <name val="MS Sans Serif"/>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63"/>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double"/>
      <bottom>
        <color indexed="6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color indexed="63"/>
      </top>
      <bottom>
        <color indexed="63"/>
      </bottom>
    </border>
    <border>
      <left>
        <color indexed="63"/>
      </left>
      <right style="thin">
        <color indexed="8"/>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color indexed="63"/>
      </bottom>
    </border>
  </borders>
  <cellStyleXfs count="71">
    <xf numFmtId="0" fontId="0" fillId="0" borderId="0">
      <alignment/>
      <protection/>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3" fontId="63" fillId="0" borderId="0" applyFont="0" applyFill="0" applyBorder="0" applyAlignment="0" applyProtection="0"/>
    <xf numFmtId="166" fontId="63" fillId="0" borderId="0" applyFont="0" applyFill="0" applyBorder="0" applyAlignment="0" applyProtection="0"/>
    <xf numFmtId="0" fontId="63" fillId="0" borderId="0" applyFont="0" applyFill="0" applyBorder="0" applyAlignment="0" applyProtection="0"/>
    <xf numFmtId="0" fontId="75" fillId="20" borderId="0" applyNumberFormat="0" applyBorder="0" applyAlignment="0" applyProtection="0"/>
    <xf numFmtId="2" fontId="63"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76" fillId="21" borderId="1" applyNumberFormat="0" applyAlignment="0" applyProtection="0"/>
    <xf numFmtId="0" fontId="77" fillId="0" borderId="0" applyNumberFormat="0" applyFill="0" applyBorder="0" applyAlignment="0" applyProtection="0"/>
    <xf numFmtId="0" fontId="78" fillId="0" borderId="2" applyNumberFormat="0" applyFill="0" applyAlignment="0" applyProtection="0"/>
    <xf numFmtId="0" fontId="79" fillId="0" borderId="3" applyNumberFormat="0" applyFill="0" applyAlignment="0" applyProtection="0"/>
    <xf numFmtId="0" fontId="80" fillId="0" borderId="4" applyNumberFormat="0" applyFill="0" applyAlignment="0" applyProtection="0"/>
    <xf numFmtId="0" fontId="80" fillId="0" borderId="0" applyNumberFormat="0" applyFill="0" applyBorder="0" applyAlignment="0" applyProtection="0"/>
    <xf numFmtId="0" fontId="0" fillId="0" borderId="0">
      <alignment/>
      <protection/>
    </xf>
    <xf numFmtId="0" fontId="66" fillId="0" borderId="0">
      <alignment/>
      <protection/>
    </xf>
    <xf numFmtId="0" fontId="81" fillId="22" borderId="0" applyNumberFormat="0" applyBorder="0" applyAlignment="0" applyProtection="0"/>
    <xf numFmtId="0" fontId="72" fillId="0" borderId="0">
      <alignment/>
      <protection/>
    </xf>
    <xf numFmtId="9" fontId="73" fillId="0" borderId="0" applyFont="0" applyFill="0" applyBorder="0" applyAlignment="0" applyProtection="0"/>
    <xf numFmtId="0" fontId="73" fillId="23" borderId="5" applyNumberFormat="0" applyFon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84" fillId="0" borderId="6" applyNumberFormat="0" applyFill="0" applyAlignment="0" applyProtection="0"/>
    <xf numFmtId="0" fontId="85" fillId="30" borderId="7" applyNumberFormat="0" applyAlignment="0" applyProtection="0"/>
    <xf numFmtId="0" fontId="86" fillId="21" borderId="8" applyNumberFormat="0" applyAlignment="0" applyProtection="0"/>
    <xf numFmtId="0" fontId="87" fillId="31" borderId="0" applyNumberFormat="0" applyBorder="0" applyAlignment="0" applyProtection="0"/>
    <xf numFmtId="0" fontId="63" fillId="0" borderId="9" applyNumberFormat="0" applyFont="0" applyFill="0" applyAlignment="0" applyProtection="0"/>
    <xf numFmtId="164" fontId="0" fillId="0" borderId="0" applyFont="0" applyFill="0" applyBorder="0" applyAlignment="0" applyProtection="0"/>
    <xf numFmtId="42" fontId="73" fillId="0" borderId="0" applyFont="0" applyFill="0" applyBorder="0" applyAlignment="0" applyProtection="0"/>
    <xf numFmtId="43" fontId="73" fillId="0" borderId="0" applyFont="0" applyFill="0" applyBorder="0" applyAlignment="0" applyProtection="0"/>
    <xf numFmtId="41" fontId="73" fillId="0" borderId="0" applyFont="0" applyFill="0" applyBorder="0" applyAlignment="0" applyProtection="0"/>
    <xf numFmtId="0" fontId="88" fillId="32" borderId="8" applyNumberFormat="0" applyAlignment="0" applyProtection="0"/>
    <xf numFmtId="0" fontId="89" fillId="0" borderId="10" applyNumberFormat="0" applyFill="0" applyAlignment="0" applyProtection="0"/>
  </cellStyleXfs>
  <cellXfs count="235">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vertical="top"/>
    </xf>
    <xf numFmtId="49" fontId="23" fillId="0" borderId="0" xfId="0" applyNumberFormat="1" applyFont="1" applyAlignment="1">
      <alignment horizontal="left"/>
    </xf>
    <xf numFmtId="49" fontId="24" fillId="0" borderId="0" xfId="0" applyNumberFormat="1" applyFont="1" applyAlignment="1">
      <alignment horizontal="left"/>
    </xf>
    <xf numFmtId="49" fontId="25" fillId="0" borderId="0" xfId="0" applyNumberFormat="1" applyFont="1" applyAlignment="1">
      <alignment horizontal="left"/>
    </xf>
    <xf numFmtId="0" fontId="21" fillId="0" borderId="0" xfId="0" applyFont="1" applyAlignment="1">
      <alignment vertical="top"/>
    </xf>
    <xf numFmtId="0" fontId="26" fillId="0" borderId="0" xfId="0" applyFont="1" applyAlignment="1">
      <alignment horizontal="center" vertical="top"/>
    </xf>
    <xf numFmtId="0" fontId="27" fillId="0" borderId="0" xfId="0" applyFont="1" applyFill="1" applyBorder="1" applyAlignment="1">
      <alignment horizontal="left" vertical="top"/>
    </xf>
    <xf numFmtId="0" fontId="21" fillId="0" borderId="0" xfId="0" applyFont="1" applyFill="1" applyBorder="1" applyAlignment="1">
      <alignment vertical="top"/>
    </xf>
    <xf numFmtId="0" fontId="26" fillId="0" borderId="0" xfId="0" applyFont="1" applyFill="1" applyBorder="1" applyAlignment="1">
      <alignment vertical="top"/>
    </xf>
    <xf numFmtId="49" fontId="28" fillId="0" borderId="0" xfId="0" applyNumberFormat="1" applyFont="1" applyAlignment="1">
      <alignment horizontal="center"/>
    </xf>
    <xf numFmtId="49" fontId="28" fillId="0" borderId="0" xfId="0" applyNumberFormat="1" applyFont="1" applyAlignment="1">
      <alignment horizontal="left"/>
    </xf>
    <xf numFmtId="0" fontId="28" fillId="0" borderId="0" xfId="0" applyNumberFormat="1" applyFont="1" applyAlignment="1">
      <alignment horizontal="left"/>
    </xf>
    <xf numFmtId="49" fontId="28" fillId="0" borderId="0" xfId="0" applyNumberFormat="1" applyFont="1" applyAlignment="1">
      <alignment/>
    </xf>
    <xf numFmtId="49" fontId="0" fillId="0" borderId="0" xfId="0" applyNumberFormat="1" applyFont="1" applyAlignment="1">
      <alignment/>
    </xf>
    <xf numFmtId="49" fontId="26" fillId="0" borderId="0" xfId="0" applyNumberFormat="1" applyFont="1" applyAlignment="1">
      <alignment/>
    </xf>
    <xf numFmtId="0" fontId="25" fillId="0" borderId="0" xfId="0" applyFont="1" applyAlignment="1">
      <alignment/>
    </xf>
    <xf numFmtId="49" fontId="29" fillId="0" borderId="0" xfId="0" applyNumberFormat="1" applyFont="1" applyAlignment="1">
      <alignment horizontal="left"/>
    </xf>
    <xf numFmtId="0" fontId="0" fillId="0" borderId="0" xfId="0" applyFont="1" applyAlignment="1">
      <alignment/>
    </xf>
    <xf numFmtId="0" fontId="26" fillId="0" borderId="0" xfId="0" applyFont="1" applyAlignment="1">
      <alignment horizontal="center"/>
    </xf>
    <xf numFmtId="49" fontId="30" fillId="0" borderId="0" xfId="0" applyNumberFormat="1" applyFont="1" applyFill="1" applyBorder="1" applyAlignment="1">
      <alignment horizontal="right" vertical="center"/>
    </xf>
    <xf numFmtId="49" fontId="30" fillId="0" borderId="0" xfId="0" applyNumberFormat="1" applyFont="1" applyFill="1" applyBorder="1" applyAlignment="1">
      <alignment horizontal="left" vertical="center"/>
    </xf>
    <xf numFmtId="0" fontId="30" fillId="0" borderId="0" xfId="0" applyFont="1" applyFill="1" applyBorder="1" applyAlignment="1">
      <alignment/>
    </xf>
    <xf numFmtId="0" fontId="0" fillId="0" borderId="0" xfId="0" applyFont="1" applyFill="1" applyBorder="1" applyAlignment="1">
      <alignment/>
    </xf>
    <xf numFmtId="0" fontId="26" fillId="0" borderId="0" xfId="0" applyFont="1" applyFill="1" applyBorder="1" applyAlignment="1">
      <alignment/>
    </xf>
    <xf numFmtId="49" fontId="31" fillId="33" borderId="0" xfId="0" applyNumberFormat="1" applyFont="1" applyFill="1" applyAlignment="1">
      <alignment vertical="center"/>
    </xf>
    <xf numFmtId="49" fontId="31" fillId="33" borderId="0" xfId="0" applyNumberFormat="1" applyFont="1" applyFill="1" applyAlignment="1">
      <alignment horizontal="left" vertical="center"/>
    </xf>
    <xf numFmtId="49" fontId="31" fillId="33" borderId="0" xfId="0" applyNumberFormat="1" applyFont="1" applyFill="1" applyAlignment="1">
      <alignment horizontal="center" vertical="center"/>
    </xf>
    <xf numFmtId="49" fontId="32" fillId="33" borderId="0" xfId="0" applyNumberFormat="1" applyFont="1" applyFill="1" applyAlignment="1">
      <alignment vertical="center"/>
    </xf>
    <xf numFmtId="49" fontId="31" fillId="33" borderId="0" xfId="0" applyNumberFormat="1" applyFont="1" applyFill="1" applyAlignment="1">
      <alignment horizontal="center" vertical="center"/>
    </xf>
    <xf numFmtId="49" fontId="31" fillId="33" borderId="0" xfId="0" applyNumberFormat="1" applyFont="1" applyFill="1" applyAlignment="1">
      <alignment horizontal="right" vertical="center"/>
    </xf>
    <xf numFmtId="0" fontId="33" fillId="0" borderId="0" xfId="0" applyFont="1" applyAlignment="1">
      <alignment vertical="center"/>
    </xf>
    <xf numFmtId="0" fontId="26" fillId="0" borderId="0" xfId="0" applyFont="1" applyAlignment="1">
      <alignment horizontal="center" vertical="center"/>
    </xf>
    <xf numFmtId="0" fontId="34" fillId="0" borderId="11" xfId="0" applyFont="1" applyBorder="1" applyAlignment="1">
      <alignment vertical="center"/>
    </xf>
    <xf numFmtId="0" fontId="30" fillId="0" borderId="12" xfId="0" applyFont="1" applyFill="1" applyBorder="1" applyAlignment="1">
      <alignment vertical="center"/>
    </xf>
    <xf numFmtId="0" fontId="30" fillId="0" borderId="13" xfId="0" applyFont="1" applyFill="1" applyBorder="1" applyAlignment="1">
      <alignment horizontal="center" vertical="center"/>
    </xf>
    <xf numFmtId="0" fontId="30"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26" fillId="0" borderId="0" xfId="0" applyFont="1" applyFill="1" applyBorder="1" applyAlignment="1">
      <alignment vertical="center"/>
    </xf>
    <xf numFmtId="0" fontId="33" fillId="0" borderId="0" xfId="0" applyFont="1" applyFill="1" applyBorder="1" applyAlignment="1">
      <alignment vertical="center"/>
    </xf>
    <xf numFmtId="14" fontId="35" fillId="0" borderId="14" xfId="0" applyNumberFormat="1" applyFont="1" applyBorder="1" applyAlignment="1">
      <alignment horizontal="left" vertical="center"/>
    </xf>
    <xf numFmtId="49" fontId="30" fillId="0" borderId="14" xfId="0" applyNumberFormat="1" applyFont="1" applyBorder="1" applyAlignment="1">
      <alignment vertical="center"/>
    </xf>
    <xf numFmtId="49" fontId="30" fillId="0" borderId="14" xfId="0" applyNumberFormat="1" applyFont="1" applyBorder="1" applyAlignment="1">
      <alignment horizontal="left" vertical="center"/>
    </xf>
    <xf numFmtId="49" fontId="36" fillId="0" borderId="14" xfId="0" applyNumberFormat="1" applyFont="1" applyBorder="1" applyAlignment="1">
      <alignment vertical="center"/>
    </xf>
    <xf numFmtId="49" fontId="30" fillId="0" borderId="14" xfId="65" applyNumberFormat="1" applyFont="1" applyBorder="1" applyAlignment="1" applyProtection="1">
      <alignment horizontal="center" vertical="center"/>
      <protection locked="0"/>
    </xf>
    <xf numFmtId="0" fontId="35" fillId="0" borderId="14" xfId="0" applyFont="1" applyBorder="1" applyAlignment="1">
      <alignment horizontal="left" vertical="center"/>
    </xf>
    <xf numFmtId="1" fontId="30" fillId="0" borderId="14" xfId="0" applyNumberFormat="1" applyFont="1" applyBorder="1" applyAlignment="1">
      <alignment horizontal="center" vertical="center"/>
    </xf>
    <xf numFmtId="49" fontId="30" fillId="0" borderId="14" xfId="0" applyNumberFormat="1" applyFont="1" applyBorder="1" applyAlignment="1">
      <alignment horizontal="right" vertical="center"/>
    </xf>
    <xf numFmtId="0" fontId="34" fillId="0" borderId="0" xfId="0" applyFont="1" applyAlignment="1">
      <alignment vertical="center"/>
    </xf>
    <xf numFmtId="0" fontId="37" fillId="0" borderId="0" xfId="0" applyFont="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37" fillId="0" borderId="0" xfId="0" applyFont="1" applyFill="1" applyBorder="1" applyAlignment="1">
      <alignment vertical="center"/>
    </xf>
    <xf numFmtId="49" fontId="38" fillId="0" borderId="0" xfId="0" applyNumberFormat="1" applyFont="1" applyFill="1" applyAlignment="1">
      <alignment horizontal="right" vertical="center"/>
    </xf>
    <xf numFmtId="49" fontId="38" fillId="0" borderId="0" xfId="0" applyNumberFormat="1" applyFont="1" applyFill="1" applyAlignment="1">
      <alignment horizontal="center" vertical="center"/>
    </xf>
    <xf numFmtId="49" fontId="38" fillId="0" borderId="0" xfId="0" applyNumberFormat="1" applyFont="1" applyFill="1" applyAlignment="1">
      <alignment horizontal="left" vertical="center"/>
    </xf>
    <xf numFmtId="49" fontId="39" fillId="0" borderId="0" xfId="0" applyNumberFormat="1" applyFont="1" applyFill="1" applyAlignment="1">
      <alignment horizontal="left" vertical="center"/>
    </xf>
    <xf numFmtId="49" fontId="39" fillId="0" borderId="0" xfId="0" applyNumberFormat="1" applyFont="1" applyFill="1" applyAlignment="1">
      <alignment horizontal="center" vertical="center"/>
    </xf>
    <xf numFmtId="49" fontId="39" fillId="0" borderId="0" xfId="0" applyNumberFormat="1" applyFont="1" applyFill="1" applyAlignment="1">
      <alignment vertical="center"/>
    </xf>
    <xf numFmtId="0" fontId="33" fillId="0" borderId="15" xfId="0" applyFont="1" applyFill="1" applyBorder="1" applyAlignment="1">
      <alignment vertical="center"/>
    </xf>
    <xf numFmtId="0" fontId="30" fillId="0" borderId="15" xfId="0" applyFont="1" applyFill="1" applyBorder="1" applyAlignment="1">
      <alignment vertical="center"/>
    </xf>
    <xf numFmtId="0" fontId="30" fillId="0" borderId="15" xfId="0" applyFont="1" applyFill="1" applyBorder="1" applyAlignment="1">
      <alignment horizontal="center" vertical="center"/>
    </xf>
    <xf numFmtId="0" fontId="34" fillId="0" borderId="15" xfId="0" applyFont="1" applyFill="1" applyBorder="1" applyAlignment="1">
      <alignment horizontal="center" vertical="center"/>
    </xf>
    <xf numFmtId="49" fontId="33" fillId="0" borderId="0" xfId="0" applyNumberFormat="1" applyFont="1" applyFill="1" applyAlignment="1">
      <alignment horizontal="right" vertical="center"/>
    </xf>
    <xf numFmtId="49" fontId="33" fillId="0" borderId="0" xfId="0" applyNumberFormat="1" applyFont="1" applyAlignment="1">
      <alignment horizontal="center" vertical="center"/>
    </xf>
    <xf numFmtId="0" fontId="33" fillId="0" borderId="0" xfId="0" applyFont="1" applyAlignment="1">
      <alignment horizontal="center" vertical="center"/>
    </xf>
    <xf numFmtId="49" fontId="33" fillId="0" borderId="0" xfId="0" applyNumberFormat="1" applyFont="1" applyAlignment="1">
      <alignment horizontal="left" vertical="center"/>
    </xf>
    <xf numFmtId="49" fontId="40" fillId="0" borderId="0" xfId="0" applyNumberFormat="1" applyFont="1" applyAlignment="1">
      <alignment horizontal="left" vertical="center"/>
    </xf>
    <xf numFmtId="49" fontId="0" fillId="0" borderId="0" xfId="0" applyNumberFormat="1" applyFont="1" applyAlignment="1">
      <alignment vertical="center"/>
    </xf>
    <xf numFmtId="49" fontId="41" fillId="0" borderId="0" xfId="0" applyNumberFormat="1" applyFont="1" applyAlignment="1">
      <alignment horizontal="center" vertical="center"/>
    </xf>
    <xf numFmtId="49" fontId="41" fillId="0" borderId="0" xfId="0" applyNumberFormat="1" applyFont="1" applyAlignment="1">
      <alignment vertical="center"/>
    </xf>
    <xf numFmtId="0" fontId="33" fillId="34" borderId="15" xfId="0" applyFont="1" applyFill="1" applyBorder="1" applyAlignment="1">
      <alignment vertical="center"/>
    </xf>
    <xf numFmtId="0" fontId="30" fillId="34" borderId="15" xfId="0" applyFont="1" applyFill="1" applyBorder="1" applyAlignment="1">
      <alignment vertical="center"/>
    </xf>
    <xf numFmtId="0" fontId="30" fillId="34" borderId="15" xfId="0" applyFont="1" applyFill="1" applyBorder="1" applyAlignment="1">
      <alignment horizontal="center" vertical="center"/>
    </xf>
    <xf numFmtId="0" fontId="40" fillId="34" borderId="15" xfId="0" applyFont="1" applyFill="1" applyBorder="1" applyAlignment="1">
      <alignment horizontal="center" vertical="center"/>
    </xf>
    <xf numFmtId="49" fontId="42" fillId="0" borderId="0" xfId="0" applyNumberFormat="1" applyFont="1" applyFill="1" applyAlignment="1">
      <alignment horizontal="center" vertical="center"/>
    </xf>
    <xf numFmtId="0" fontId="42" fillId="0" borderId="16" xfId="0" applyFont="1" applyBorder="1" applyAlignment="1">
      <alignment vertical="center"/>
    </xf>
    <xf numFmtId="0" fontId="43" fillId="35" borderId="16" xfId="0" applyFont="1" applyFill="1" applyBorder="1" applyAlignment="1">
      <alignment horizontal="center" vertical="center"/>
    </xf>
    <xf numFmtId="0" fontId="44" fillId="0" borderId="16" xfId="0" applyFont="1" applyBorder="1" applyAlignment="1">
      <alignment horizontal="center" vertical="center"/>
    </xf>
    <xf numFmtId="0" fontId="45" fillId="0" borderId="0" xfId="0" applyFont="1" applyAlignment="1">
      <alignment vertical="center"/>
    </xf>
    <xf numFmtId="0" fontId="44" fillId="0" borderId="0" xfId="0" applyFont="1" applyAlignment="1">
      <alignment vertical="center"/>
    </xf>
    <xf numFmtId="0" fontId="46" fillId="36" borderId="0" xfId="0" applyFont="1" applyFill="1" applyAlignment="1">
      <alignment vertical="center"/>
    </xf>
    <xf numFmtId="0" fontId="44" fillId="36" borderId="0" xfId="0" applyFont="1" applyFill="1" applyAlignment="1">
      <alignment vertical="center"/>
    </xf>
    <xf numFmtId="49" fontId="46" fillId="36" borderId="0" xfId="0" applyNumberFormat="1" applyFont="1" applyFill="1" applyAlignment="1">
      <alignment vertical="center"/>
    </xf>
    <xf numFmtId="49" fontId="44" fillId="36" borderId="0" xfId="0" applyNumberFormat="1" applyFont="1" applyFill="1" applyAlignment="1">
      <alignment vertical="center"/>
    </xf>
    <xf numFmtId="0" fontId="0" fillId="36" borderId="0" xfId="0" applyFont="1" applyFill="1" applyAlignment="1">
      <alignment vertical="center"/>
    </xf>
    <xf numFmtId="0" fontId="0" fillId="0" borderId="0" xfId="0" applyFont="1" applyAlignment="1">
      <alignment vertical="center"/>
    </xf>
    <xf numFmtId="0" fontId="0" fillId="0" borderId="17" xfId="0" applyFont="1" applyBorder="1" applyAlignment="1">
      <alignment vertical="center"/>
    </xf>
    <xf numFmtId="0" fontId="30" fillId="0" borderId="15" xfId="0" applyFont="1" applyFill="1" applyBorder="1" applyAlignment="1" applyProtection="1">
      <alignment horizontal="center" vertical="center"/>
      <protection hidden="1"/>
    </xf>
    <xf numFmtId="1" fontId="34" fillId="0" borderId="15" xfId="0" applyNumberFormat="1" applyFont="1" applyFill="1" applyBorder="1" applyAlignment="1">
      <alignment horizontal="center" vertical="center"/>
    </xf>
    <xf numFmtId="0" fontId="0" fillId="0" borderId="0" xfId="0" applyFont="1" applyFill="1" applyBorder="1" applyAlignment="1">
      <alignment vertical="center"/>
    </xf>
    <xf numFmtId="49" fontId="46" fillId="0" borderId="0" xfId="0" applyNumberFormat="1" applyFont="1" applyFill="1" applyAlignment="1">
      <alignment horizontal="center" vertical="center"/>
    </xf>
    <xf numFmtId="0" fontId="46" fillId="0" borderId="0" xfId="0" applyFont="1" applyAlignment="1">
      <alignment horizontal="center" vertical="center"/>
    </xf>
    <xf numFmtId="0" fontId="45" fillId="0" borderId="0" xfId="0" applyFont="1" applyAlignment="1">
      <alignment vertical="center"/>
    </xf>
    <xf numFmtId="0" fontId="47" fillId="0" borderId="0" xfId="0" applyFont="1" applyAlignment="1">
      <alignment vertical="center"/>
    </xf>
    <xf numFmtId="0" fontId="39" fillId="0" borderId="0" xfId="0" applyFont="1" applyAlignment="1">
      <alignment horizontal="right" vertical="center"/>
    </xf>
    <xf numFmtId="0" fontId="48" fillId="37" borderId="18" xfId="0" applyFont="1" applyFill="1" applyBorder="1" applyAlignment="1">
      <alignment horizontal="right" vertical="center"/>
    </xf>
    <xf numFmtId="0" fontId="45" fillId="0" borderId="16" xfId="0" applyFont="1" applyBorder="1" applyAlignment="1">
      <alignment vertical="center"/>
    </xf>
    <xf numFmtId="0" fontId="44" fillId="0" borderId="16" xfId="0" applyFont="1" applyBorder="1" applyAlignment="1">
      <alignment vertical="center"/>
    </xf>
    <xf numFmtId="0" fontId="0" fillId="0" borderId="19" xfId="0" applyFont="1" applyBorder="1" applyAlignment="1">
      <alignment vertical="center"/>
    </xf>
    <xf numFmtId="0" fontId="30" fillId="33" borderId="15" xfId="0" applyNumberFormat="1" applyFont="1" applyFill="1" applyBorder="1" applyAlignment="1">
      <alignment vertical="center"/>
    </xf>
    <xf numFmtId="0" fontId="30" fillId="33" borderId="15" xfId="0" applyFont="1" applyFill="1" applyBorder="1" applyAlignment="1">
      <alignment horizontal="center" vertical="center"/>
    </xf>
    <xf numFmtId="1" fontId="34" fillId="33" borderId="15" xfId="0" applyNumberFormat="1" applyFont="1" applyFill="1" applyBorder="1" applyAlignment="1">
      <alignment horizontal="center" vertical="center"/>
    </xf>
    <xf numFmtId="0" fontId="46" fillId="0" borderId="16" xfId="0" applyFont="1" applyBorder="1" applyAlignment="1">
      <alignment vertical="center"/>
    </xf>
    <xf numFmtId="0" fontId="46" fillId="0" borderId="16" xfId="0" applyFont="1" applyBorder="1" applyAlignment="1">
      <alignment vertical="center"/>
    </xf>
    <xf numFmtId="0" fontId="44" fillId="0" borderId="20" xfId="0" applyFont="1" applyBorder="1" applyAlignment="1">
      <alignment horizontal="center" vertical="center"/>
    </xf>
    <xf numFmtId="0" fontId="45" fillId="0" borderId="0" xfId="0" applyFont="1" applyAlignment="1">
      <alignment horizontal="left" vertical="center"/>
    </xf>
    <xf numFmtId="0" fontId="44" fillId="0" borderId="21" xfId="0" applyFont="1" applyBorder="1" applyAlignment="1">
      <alignment horizontal="left" vertical="center"/>
    </xf>
    <xf numFmtId="0" fontId="43" fillId="0" borderId="0" xfId="0" applyFont="1" applyAlignment="1">
      <alignment horizontal="center" vertical="center"/>
    </xf>
    <xf numFmtId="0" fontId="44" fillId="0" borderId="0" xfId="0" applyFont="1" applyAlignment="1">
      <alignment horizontal="center" vertical="center"/>
    </xf>
    <xf numFmtId="0" fontId="48" fillId="37" borderId="21" xfId="0" applyFont="1" applyFill="1" applyBorder="1" applyAlignment="1">
      <alignment horizontal="right" vertical="center"/>
    </xf>
    <xf numFmtId="49" fontId="44" fillId="0" borderId="16" xfId="0" applyNumberFormat="1" applyFont="1" applyBorder="1" applyAlignment="1">
      <alignment vertical="center"/>
    </xf>
    <xf numFmtId="49" fontId="45" fillId="0" borderId="0" xfId="0" applyNumberFormat="1" applyFont="1" applyAlignment="1">
      <alignment vertical="center"/>
    </xf>
    <xf numFmtId="49" fontId="44" fillId="0" borderId="0" xfId="0" applyNumberFormat="1" applyFont="1" applyAlignment="1">
      <alignment vertical="center"/>
    </xf>
    <xf numFmtId="0" fontId="30" fillId="33" borderId="15" xfId="0" applyFont="1" applyFill="1" applyBorder="1" applyAlignment="1">
      <alignment vertical="center"/>
    </xf>
    <xf numFmtId="0" fontId="44" fillId="0" borderId="21" xfId="0" applyFont="1" applyBorder="1" applyAlignment="1">
      <alignment vertical="center"/>
    </xf>
    <xf numFmtId="49" fontId="44" fillId="0" borderId="21" xfId="0" applyNumberFormat="1" applyFont="1" applyBorder="1" applyAlignment="1">
      <alignment vertical="center"/>
    </xf>
    <xf numFmtId="0" fontId="44" fillId="0" borderId="20" xfId="0" applyFont="1" applyBorder="1" applyAlignment="1">
      <alignment vertical="center"/>
    </xf>
    <xf numFmtId="0" fontId="47" fillId="0" borderId="0" xfId="0" applyFont="1" applyAlignment="1">
      <alignment vertical="center"/>
    </xf>
    <xf numFmtId="0" fontId="49" fillId="0" borderId="0" xfId="0" applyFont="1" applyAlignment="1">
      <alignment vertical="center"/>
    </xf>
    <xf numFmtId="0" fontId="44" fillId="36" borderId="21" xfId="0" applyFont="1" applyFill="1" applyBorder="1" applyAlignment="1">
      <alignment vertical="center"/>
    </xf>
    <xf numFmtId="0" fontId="0" fillId="0" borderId="22" xfId="0" applyFont="1" applyBorder="1" applyAlignment="1">
      <alignment vertical="center"/>
    </xf>
    <xf numFmtId="49" fontId="44" fillId="0" borderId="20" xfId="0" applyNumberFormat="1" applyFont="1" applyBorder="1" applyAlignment="1">
      <alignment vertical="center"/>
    </xf>
    <xf numFmtId="1" fontId="44" fillId="0" borderId="20" xfId="0" applyNumberFormat="1" applyFont="1" applyBorder="1" applyAlignment="1">
      <alignment vertical="center"/>
    </xf>
    <xf numFmtId="0" fontId="50" fillId="0" borderId="0" xfId="0" applyFont="1" applyAlignment="1">
      <alignment vertical="center"/>
    </xf>
    <xf numFmtId="1" fontId="44" fillId="36" borderId="16" xfId="0" applyNumberFormat="1" applyFont="1" applyFill="1" applyBorder="1" applyAlignment="1">
      <alignment vertical="center"/>
    </xf>
    <xf numFmtId="49" fontId="42" fillId="0" borderId="0" xfId="0" applyNumberFormat="1" applyFont="1" applyFill="1" applyAlignment="1">
      <alignment horizontal="center" vertical="center"/>
    </xf>
    <xf numFmtId="0" fontId="44" fillId="36" borderId="20" xfId="0" applyFont="1" applyFill="1" applyBorder="1" applyAlignment="1">
      <alignment vertical="center"/>
    </xf>
    <xf numFmtId="0" fontId="46" fillId="36" borderId="0" xfId="0" applyFont="1" applyFill="1" applyAlignment="1">
      <alignment horizontal="right" vertical="center"/>
    </xf>
    <xf numFmtId="0" fontId="51" fillId="0" borderId="0" xfId="0" applyFont="1" applyAlignment="1">
      <alignment vertical="center"/>
    </xf>
    <xf numFmtId="0" fontId="44" fillId="0" borderId="20" xfId="0" applyFont="1" applyBorder="1" applyAlignment="1">
      <alignment horizontal="right" vertical="center"/>
    </xf>
    <xf numFmtId="0" fontId="48" fillId="37" borderId="0" xfId="0" applyFont="1" applyFill="1" applyAlignment="1">
      <alignment horizontal="right" vertical="center"/>
    </xf>
    <xf numFmtId="0" fontId="52"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26" fillId="36" borderId="0" xfId="0" applyFont="1" applyFill="1" applyBorder="1" applyAlignment="1">
      <alignment horizontal="center" vertical="center"/>
    </xf>
    <xf numFmtId="0" fontId="26" fillId="36" borderId="0" xfId="0" applyFont="1" applyFill="1" applyBorder="1" applyAlignment="1">
      <alignment vertical="center"/>
    </xf>
    <xf numFmtId="0" fontId="52" fillId="36" borderId="0" xfId="0" applyFont="1" applyFill="1" applyBorder="1" applyAlignment="1">
      <alignment vertical="center"/>
    </xf>
    <xf numFmtId="0" fontId="36" fillId="36" borderId="0" xfId="0" applyFont="1" applyFill="1" applyBorder="1" applyAlignment="1">
      <alignment vertical="center"/>
    </xf>
    <xf numFmtId="2" fontId="36" fillId="36" borderId="0" xfId="0" applyNumberFormat="1" applyFont="1" applyFill="1" applyBorder="1" applyAlignment="1">
      <alignment vertical="center"/>
    </xf>
    <xf numFmtId="0" fontId="41" fillId="36" borderId="0" xfId="0" applyFont="1" applyFill="1" applyBorder="1" applyAlignment="1">
      <alignment vertical="center"/>
    </xf>
    <xf numFmtId="0" fontId="52" fillId="36" borderId="0" xfId="0" applyFont="1" applyFill="1" applyBorder="1" applyAlignment="1">
      <alignment horizontal="center" vertical="center"/>
    </xf>
    <xf numFmtId="0" fontId="53" fillId="0" borderId="0" xfId="0" applyFont="1" applyBorder="1" applyAlignment="1">
      <alignment vertical="center"/>
    </xf>
    <xf numFmtId="0" fontId="0" fillId="0" borderId="0" xfId="0" applyFont="1" applyBorder="1" applyAlignment="1">
      <alignment vertical="center"/>
    </xf>
    <xf numFmtId="0" fontId="26" fillId="0" borderId="0" xfId="0" applyFont="1" applyBorder="1" applyAlignment="1">
      <alignment horizontal="center" vertical="center"/>
    </xf>
    <xf numFmtId="165" fontId="52" fillId="36" borderId="0" xfId="0" applyNumberFormat="1" applyFont="1" applyFill="1" applyBorder="1" applyAlignment="1">
      <alignment horizontal="center" vertical="center"/>
    </xf>
    <xf numFmtId="0" fontId="37" fillId="36" borderId="0" xfId="0" applyFont="1" applyFill="1" applyBorder="1" applyAlignment="1">
      <alignment vertical="center"/>
    </xf>
    <xf numFmtId="49" fontId="36" fillId="36" borderId="0" xfId="0" applyNumberFormat="1" applyFont="1" applyFill="1" applyBorder="1" applyAlignment="1">
      <alignment vertical="center"/>
    </xf>
    <xf numFmtId="1" fontId="36" fillId="36" borderId="0" xfId="0" applyNumberFormat="1" applyFont="1" applyFill="1" applyBorder="1" applyAlignment="1">
      <alignment horizontal="center" vertical="center"/>
    </xf>
    <xf numFmtId="0" fontId="36" fillId="36" borderId="0" xfId="0" applyNumberFormat="1" applyFont="1" applyFill="1" applyBorder="1" applyAlignment="1">
      <alignment horizontal="center" vertical="center"/>
    </xf>
    <xf numFmtId="0" fontId="44" fillId="36" borderId="16" xfId="0" applyFont="1" applyFill="1" applyBorder="1" applyAlignment="1">
      <alignment vertical="center"/>
    </xf>
    <xf numFmtId="0" fontId="30" fillId="0" borderId="0" xfId="0" applyFont="1" applyFill="1" applyBorder="1" applyAlignment="1">
      <alignment vertical="center"/>
    </xf>
    <xf numFmtId="0" fontId="30" fillId="0" borderId="0" xfId="0" applyFont="1" applyBorder="1" applyAlignment="1">
      <alignment vertical="center"/>
    </xf>
    <xf numFmtId="0" fontId="30" fillId="0" borderId="0" xfId="0" applyFont="1" applyAlignment="1">
      <alignment vertical="center"/>
    </xf>
    <xf numFmtId="1" fontId="26" fillId="0" borderId="0" xfId="0" applyNumberFormat="1" applyFont="1" applyFill="1" applyBorder="1" applyAlignment="1">
      <alignment horizontal="center" vertical="center"/>
    </xf>
    <xf numFmtId="49" fontId="0" fillId="36" borderId="0" xfId="0" applyNumberFormat="1" applyFont="1" applyFill="1" applyAlignment="1">
      <alignment vertical="center"/>
    </xf>
    <xf numFmtId="0" fontId="53" fillId="0" borderId="23" xfId="0" applyFont="1" applyBorder="1" applyAlignment="1">
      <alignment horizontal="center" vertical="center"/>
    </xf>
    <xf numFmtId="0" fontId="53" fillId="0" borderId="0" xfId="0" applyFont="1" applyAlignment="1">
      <alignment horizontal="center" vertical="center"/>
    </xf>
    <xf numFmtId="0" fontId="44" fillId="36" borderId="0" xfId="0" applyFont="1" applyFill="1" applyBorder="1" applyAlignment="1">
      <alignment vertical="center"/>
    </xf>
    <xf numFmtId="0" fontId="53" fillId="0" borderId="0" xfId="0" applyFont="1" applyBorder="1" applyAlignment="1">
      <alignment horizontal="center" vertical="center"/>
    </xf>
    <xf numFmtId="0" fontId="26" fillId="36" borderId="0" xfId="0" applyFont="1" applyFill="1" applyAlignment="1">
      <alignment vertical="center"/>
    </xf>
    <xf numFmtId="49" fontId="42" fillId="0" borderId="0" xfId="0" applyNumberFormat="1" applyFont="1" applyFill="1" applyBorder="1" applyAlignment="1">
      <alignment horizontal="center" vertical="center"/>
    </xf>
    <xf numFmtId="1" fontId="42" fillId="0" borderId="0" xfId="0" applyNumberFormat="1" applyFont="1" applyFill="1" applyBorder="1" applyAlignment="1">
      <alignment horizontal="center" vertical="center"/>
    </xf>
    <xf numFmtId="0" fontId="30" fillId="0" borderId="15" xfId="0" applyFont="1" applyFill="1" applyBorder="1" applyAlignment="1">
      <alignment horizontal="right" vertical="center"/>
    </xf>
    <xf numFmtId="1" fontId="30" fillId="0" borderId="15" xfId="0" applyNumberFormat="1" applyFont="1" applyFill="1" applyBorder="1" applyAlignment="1">
      <alignment vertical="center"/>
    </xf>
    <xf numFmtId="0" fontId="30" fillId="0" borderId="15" xfId="0" applyFont="1" applyBorder="1" applyAlignment="1">
      <alignment horizontal="right" vertical="center"/>
    </xf>
    <xf numFmtId="1" fontId="30" fillId="0" borderId="15" xfId="0" applyNumberFormat="1" applyFont="1" applyBorder="1" applyAlignment="1">
      <alignment vertical="center"/>
    </xf>
    <xf numFmtId="49" fontId="54" fillId="36" borderId="0" xfId="0" applyNumberFormat="1" applyFont="1" applyFill="1" applyAlignment="1">
      <alignment horizontal="center" vertical="center"/>
    </xf>
    <xf numFmtId="49" fontId="55" fillId="0" borderId="0" xfId="0" applyNumberFormat="1" applyFont="1" applyAlignment="1">
      <alignment vertical="center"/>
    </xf>
    <xf numFmtId="49" fontId="56" fillId="0" borderId="0" xfId="0" applyNumberFormat="1" applyFont="1" applyAlignment="1">
      <alignment horizontal="center" vertical="center"/>
    </xf>
    <xf numFmtId="49" fontId="55" fillId="36" borderId="0" xfId="0" applyNumberFormat="1" applyFont="1" applyFill="1" applyAlignment="1">
      <alignment vertical="center"/>
    </xf>
    <xf numFmtId="49" fontId="56" fillId="36" borderId="0" xfId="0" applyNumberFormat="1" applyFont="1" applyFill="1" applyAlignment="1">
      <alignment vertical="center"/>
    </xf>
    <xf numFmtId="0" fontId="0" fillId="36" borderId="0" xfId="0" applyFill="1" applyAlignment="1">
      <alignment vertical="center"/>
    </xf>
    <xf numFmtId="0" fontId="0" fillId="0" borderId="0" xfId="0" applyAlignment="1">
      <alignment vertical="center"/>
    </xf>
    <xf numFmtId="0" fontId="31" fillId="0" borderId="11" xfId="0" applyFont="1" applyFill="1" applyBorder="1" applyAlignment="1">
      <alignment vertical="center"/>
    </xf>
    <xf numFmtId="0" fontId="31" fillId="0" borderId="12" xfId="0" applyFont="1" applyFill="1" applyBorder="1" applyAlignment="1">
      <alignment vertical="center"/>
    </xf>
    <xf numFmtId="0" fontId="31" fillId="0" borderId="24" xfId="0" applyFont="1" applyFill="1" applyBorder="1" applyAlignment="1">
      <alignment vertical="center"/>
    </xf>
    <xf numFmtId="49" fontId="57" fillId="0" borderId="12" xfId="0" applyNumberFormat="1" applyFont="1" applyFill="1" applyBorder="1" applyAlignment="1">
      <alignment horizontal="center" vertical="center"/>
    </xf>
    <xf numFmtId="49" fontId="57" fillId="0" borderId="12" xfId="0" applyNumberFormat="1" applyFont="1" applyFill="1" applyBorder="1" applyAlignment="1">
      <alignment vertical="center"/>
    </xf>
    <xf numFmtId="49" fontId="57" fillId="0" borderId="13" xfId="0" applyNumberFormat="1" applyFont="1" applyFill="1" applyBorder="1" applyAlignment="1">
      <alignment horizontal="center" vertical="center"/>
    </xf>
    <xf numFmtId="49" fontId="31" fillId="0" borderId="12" xfId="0" applyNumberFormat="1" applyFont="1" applyFill="1" applyBorder="1" applyAlignment="1">
      <alignment horizontal="center" vertical="center"/>
    </xf>
    <xf numFmtId="49" fontId="32" fillId="0" borderId="12" xfId="0" applyNumberFormat="1" applyFont="1" applyFill="1" applyBorder="1" applyAlignment="1">
      <alignment vertical="center"/>
    </xf>
    <xf numFmtId="49" fontId="57" fillId="0" borderId="12" xfId="0" applyNumberFormat="1" applyFont="1" applyFill="1" applyBorder="1" applyAlignment="1">
      <alignment horizontal="right" vertical="center"/>
    </xf>
    <xf numFmtId="49" fontId="32" fillId="0" borderId="13" xfId="0" applyNumberFormat="1" applyFont="1" applyFill="1" applyBorder="1" applyAlignment="1">
      <alignment vertical="center"/>
    </xf>
    <xf numFmtId="49" fontId="31" fillId="0" borderId="12" xfId="0" applyNumberFormat="1" applyFont="1" applyFill="1" applyBorder="1" applyAlignment="1">
      <alignment horizontal="left" vertical="center"/>
    </xf>
    <xf numFmtId="49" fontId="32" fillId="0" borderId="12" xfId="0" applyNumberFormat="1" applyFont="1" applyFill="1" applyBorder="1" applyAlignment="1">
      <alignment horizontal="left" vertical="center"/>
    </xf>
    <xf numFmtId="22" fontId="31" fillId="0" borderId="12" xfId="0" applyNumberFormat="1" applyFont="1" applyFill="1" applyBorder="1" applyAlignment="1">
      <alignment horizontal="left" vertical="center"/>
    </xf>
    <xf numFmtId="0" fontId="0" fillId="0" borderId="13" xfId="0" applyBorder="1" applyAlignment="1">
      <alignment vertical="center"/>
    </xf>
    <xf numFmtId="0" fontId="38" fillId="0" borderId="0" xfId="0" applyFont="1" applyAlignment="1">
      <alignment vertical="center"/>
    </xf>
    <xf numFmtId="49" fontId="38" fillId="0" borderId="23" xfId="0" applyNumberFormat="1" applyFont="1" applyFill="1" applyBorder="1" applyAlignment="1">
      <alignment vertical="center"/>
    </xf>
    <xf numFmtId="49" fontId="38" fillId="0" borderId="0" xfId="0" applyNumberFormat="1" applyFont="1" applyFill="1" applyAlignment="1">
      <alignment vertical="center"/>
    </xf>
    <xf numFmtId="49" fontId="38" fillId="0" borderId="21" xfId="0" applyNumberFormat="1" applyFont="1" applyFill="1" applyBorder="1" applyAlignment="1">
      <alignment horizontal="right"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49" fontId="38" fillId="0" borderId="25" xfId="0" applyNumberFormat="1" applyFont="1" applyFill="1" applyBorder="1" applyAlignment="1">
      <alignment horizontal="center" vertical="center"/>
    </xf>
    <xf numFmtId="49" fontId="39" fillId="0" borderId="21" xfId="0" applyNumberFormat="1" applyFont="1" applyFill="1" applyBorder="1" applyAlignment="1">
      <alignment vertical="center"/>
    </xf>
    <xf numFmtId="49" fontId="31" fillId="0" borderId="25" xfId="0" applyNumberFormat="1" applyFont="1" applyFill="1" applyBorder="1" applyAlignment="1">
      <alignment vertical="center"/>
    </xf>
    <xf numFmtId="49" fontId="32" fillId="0" borderId="26" xfId="0" applyNumberFormat="1" applyFont="1" applyFill="1" applyBorder="1" applyAlignment="1">
      <alignment vertical="center"/>
    </xf>
    <xf numFmtId="49" fontId="31" fillId="0" borderId="26" xfId="0" applyNumberFormat="1" applyFont="1" applyFill="1" applyBorder="1" applyAlignment="1">
      <alignment vertical="center"/>
    </xf>
    <xf numFmtId="14" fontId="38" fillId="0" borderId="27" xfId="0" applyNumberFormat="1" applyFont="1" applyFill="1" applyBorder="1" applyAlignment="1">
      <alignment horizontal="center" vertical="center"/>
    </xf>
    <xf numFmtId="14" fontId="38" fillId="0" borderId="16" xfId="0" applyNumberFormat="1" applyFont="1" applyFill="1" applyBorder="1" applyAlignment="1">
      <alignment horizontal="center" vertical="center"/>
    </xf>
    <xf numFmtId="49" fontId="38" fillId="0" borderId="20" xfId="0" applyNumberFormat="1" applyFont="1" applyFill="1" applyBorder="1" applyAlignment="1">
      <alignment horizontal="right" vertical="center"/>
    </xf>
    <xf numFmtId="49" fontId="38" fillId="0" borderId="23" xfId="0" applyNumberFormat="1" applyFont="1" applyFill="1" applyBorder="1" applyAlignment="1">
      <alignment horizontal="center" vertical="center"/>
    </xf>
    <xf numFmtId="49" fontId="38" fillId="0" borderId="0" xfId="0" applyNumberFormat="1" applyFont="1" applyFill="1" applyBorder="1" applyAlignment="1">
      <alignment vertical="center"/>
    </xf>
    <xf numFmtId="0" fontId="38" fillId="0" borderId="16" xfId="0" applyFont="1" applyFill="1" applyBorder="1" applyAlignment="1">
      <alignment vertical="center"/>
    </xf>
    <xf numFmtId="49" fontId="39" fillId="0" borderId="16" xfId="0" applyNumberFormat="1" applyFont="1" applyFill="1" applyBorder="1" applyAlignment="1">
      <alignment vertical="center"/>
    </xf>
    <xf numFmtId="49" fontId="38" fillId="0" borderId="16" xfId="0" applyNumberFormat="1" applyFont="1" applyFill="1" applyBorder="1" applyAlignment="1">
      <alignment vertical="center"/>
    </xf>
    <xf numFmtId="49" fontId="39" fillId="0" borderId="20" xfId="0" applyNumberFormat="1" applyFont="1" applyFill="1" applyBorder="1" applyAlignment="1">
      <alignment vertical="center"/>
    </xf>
    <xf numFmtId="49" fontId="38" fillId="0" borderId="25" xfId="0" applyNumberFormat="1" applyFont="1" applyFill="1" applyBorder="1" applyAlignment="1">
      <alignment vertical="center"/>
    </xf>
    <xf numFmtId="49" fontId="38" fillId="0" borderId="26" xfId="0" applyNumberFormat="1" applyFont="1" applyFill="1" applyBorder="1" applyAlignment="1">
      <alignment vertical="center"/>
    </xf>
    <xf numFmtId="49" fontId="38" fillId="0" borderId="18" xfId="0" applyNumberFormat="1" applyFont="1" applyFill="1" applyBorder="1" applyAlignment="1">
      <alignment horizontal="right" vertical="center"/>
    </xf>
    <xf numFmtId="0" fontId="38" fillId="0" borderId="23" xfId="0" applyFont="1" applyFill="1" applyBorder="1" applyAlignment="1">
      <alignment vertical="center"/>
    </xf>
    <xf numFmtId="0" fontId="31" fillId="0" borderId="23" xfId="0" applyFont="1" applyFill="1" applyBorder="1" applyAlignment="1">
      <alignment vertical="center"/>
    </xf>
    <xf numFmtId="0" fontId="31" fillId="0" borderId="0" xfId="0" applyFont="1" applyFill="1" applyBorder="1" applyAlignment="1">
      <alignment vertical="center"/>
    </xf>
    <xf numFmtId="0" fontId="31" fillId="0" borderId="28" xfId="0" applyFont="1" applyFill="1" applyBorder="1" applyAlignment="1">
      <alignment vertical="center"/>
    </xf>
    <xf numFmtId="0" fontId="39" fillId="36" borderId="0" xfId="0" applyFont="1" applyFill="1" applyBorder="1" applyAlignment="1">
      <alignment vertical="center"/>
    </xf>
    <xf numFmtId="0" fontId="38" fillId="0" borderId="21" xfId="0" applyFont="1" applyFill="1" applyBorder="1" applyAlignment="1">
      <alignment horizontal="right" vertical="center"/>
    </xf>
    <xf numFmtId="49" fontId="38" fillId="0" borderId="0" xfId="0" applyNumberFormat="1" applyFont="1" applyFill="1" applyAlignment="1">
      <alignment horizontal="left" vertical="center"/>
    </xf>
    <xf numFmtId="49" fontId="38" fillId="0" borderId="21" xfId="0" applyNumberFormat="1" applyFont="1" applyFill="1" applyBorder="1" applyAlignment="1">
      <alignment horizontal="left" vertical="center"/>
    </xf>
    <xf numFmtId="49" fontId="38" fillId="0" borderId="27" xfId="0" applyNumberFormat="1" applyFont="1" applyFill="1" applyBorder="1" applyAlignment="1">
      <alignment vertical="center"/>
    </xf>
    <xf numFmtId="0" fontId="38" fillId="0" borderId="20" xfId="0" applyFont="1" applyFill="1" applyBorder="1" applyAlignment="1">
      <alignment horizontal="right" vertical="center"/>
    </xf>
    <xf numFmtId="49" fontId="38" fillId="0" borderId="16" xfId="0" applyNumberFormat="1" applyFont="1" applyFill="1" applyBorder="1" applyAlignment="1">
      <alignment horizontal="center" vertical="center"/>
    </xf>
    <xf numFmtId="0" fontId="46" fillId="0" borderId="16" xfId="0" applyFont="1" applyFill="1" applyBorder="1" applyAlignment="1">
      <alignment horizontal="left" vertical="center"/>
    </xf>
    <xf numFmtId="0" fontId="46" fillId="0" borderId="16" xfId="0" applyFont="1" applyFill="1" applyBorder="1" applyAlignment="1">
      <alignment horizontal="center" vertical="center"/>
    </xf>
    <xf numFmtId="49" fontId="38" fillId="0" borderId="27" xfId="0" applyNumberFormat="1" applyFont="1" applyFill="1" applyBorder="1" applyAlignment="1">
      <alignment horizontal="center" vertical="center"/>
    </xf>
    <xf numFmtId="49" fontId="38" fillId="0" borderId="16" xfId="0" applyNumberFormat="1" applyFont="1" applyFill="1" applyBorder="1" applyAlignment="1">
      <alignment horizontal="left" vertical="center"/>
    </xf>
    <xf numFmtId="49" fontId="38" fillId="0" borderId="20" xfId="0" applyNumberFormat="1" applyFont="1" applyFill="1" applyBorder="1" applyAlignment="1">
      <alignment horizontal="left" vertical="center"/>
    </xf>
    <xf numFmtId="0" fontId="38" fillId="0" borderId="0" xfId="0" applyFont="1" applyBorder="1" applyAlignment="1">
      <alignment vertical="center"/>
    </xf>
    <xf numFmtId="0" fontId="26" fillId="0" borderId="0" xfId="0" applyFont="1" applyBorder="1" applyAlignment="1">
      <alignment vertical="center"/>
    </xf>
    <xf numFmtId="0" fontId="39" fillId="0" borderId="0" xfId="0" applyFont="1" applyAlignment="1">
      <alignment/>
    </xf>
    <xf numFmtId="0" fontId="26" fillId="0" borderId="0" xfId="0" applyFont="1" applyAlignment="1">
      <alignment/>
    </xf>
    <xf numFmtId="0" fontId="0" fillId="0" borderId="0" xfId="0" applyFont="1" applyBorder="1" applyAlignment="1">
      <alignment/>
    </xf>
    <xf numFmtId="0" fontId="26" fillId="0" borderId="0" xfId="0" applyFont="1" applyBorder="1" applyAlignment="1">
      <alignment/>
    </xf>
  </cellXfs>
  <cellStyles count="5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urrency0" xfId="34"/>
    <cellStyle name="Date" xfId="35"/>
    <cellStyle name="Dobro" xfId="36"/>
    <cellStyle name="Fixed" xfId="37"/>
    <cellStyle name="Heading 1" xfId="38"/>
    <cellStyle name="Heading 2" xfId="39"/>
    <cellStyle name="Izhod" xfId="40"/>
    <cellStyle name="Naslov" xfId="41"/>
    <cellStyle name="Naslov 1" xfId="42"/>
    <cellStyle name="Naslov 2" xfId="43"/>
    <cellStyle name="Naslov 3" xfId="44"/>
    <cellStyle name="Naslov 4" xfId="45"/>
    <cellStyle name="Navadno 4" xfId="46"/>
    <cellStyle name="Navadno 4 2" xfId="47"/>
    <cellStyle name="Nevtralno" xfId="48"/>
    <cellStyle name="Normal_32_1" xfId="49"/>
    <cellStyle name="Percent" xfId="50"/>
    <cellStyle name="Opomba" xfId="51"/>
    <cellStyle name="Opozorilo" xfId="52"/>
    <cellStyle name="Pojasnjevalno besedilo" xfId="53"/>
    <cellStyle name="Poudarek1" xfId="54"/>
    <cellStyle name="Poudarek2" xfId="55"/>
    <cellStyle name="Poudarek3" xfId="56"/>
    <cellStyle name="Poudarek4" xfId="57"/>
    <cellStyle name="Poudarek5" xfId="58"/>
    <cellStyle name="Poudarek6" xfId="59"/>
    <cellStyle name="Povezana celica" xfId="60"/>
    <cellStyle name="Preveri celico" xfId="61"/>
    <cellStyle name="Računanje" xfId="62"/>
    <cellStyle name="Slabo" xfId="63"/>
    <cellStyle name="Total" xfId="64"/>
    <cellStyle name="Currency" xfId="65"/>
    <cellStyle name="Currency [0]" xfId="66"/>
    <cellStyle name="Comma" xfId="67"/>
    <cellStyle name="Comma [0]" xfId="68"/>
    <cellStyle name="Vnos" xfId="69"/>
    <cellStyle name="Vsota" xfId="70"/>
  </cellStyles>
  <dxfs count="17">
    <dxf>
      <font>
        <b/>
        <i val="0"/>
        <color auto="1"/>
      </font>
      <fill>
        <patternFill patternType="solid">
          <bgColor indexed="9"/>
        </patternFill>
      </fill>
    </dxf>
    <dxf>
      <font>
        <b/>
        <i val="0"/>
        <color indexed="9"/>
      </font>
      <fill>
        <patternFill patternType="solid">
          <bgColor indexed="9"/>
        </patternFill>
      </fill>
    </dxf>
    <dxf/>
    <dxf>
      <font>
        <b val="0"/>
        <i val="0"/>
        <color auto="1"/>
      </font>
    </dxf>
    <dxf>
      <fill>
        <patternFill>
          <bgColor indexed="9"/>
        </patternFill>
      </fill>
    </dxf>
    <dxf>
      <font>
        <b/>
        <i val="0"/>
        <color auto="1"/>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0</xdr:row>
      <xdr:rowOff>19050</xdr:rowOff>
    </xdr:from>
    <xdr:to>
      <xdr:col>17</xdr:col>
      <xdr:colOff>9525</xdr:colOff>
      <xdr:row>1</xdr:row>
      <xdr:rowOff>152400</xdr:rowOff>
    </xdr:to>
    <xdr:pic>
      <xdr:nvPicPr>
        <xdr:cNvPr id="1" name="Picture 8"/>
        <xdr:cNvPicPr preferRelativeResize="1">
          <a:picLocks noChangeAspect="1"/>
        </xdr:cNvPicPr>
      </xdr:nvPicPr>
      <xdr:blipFill>
        <a:blip r:embed="rId1"/>
        <a:stretch>
          <a:fillRect/>
        </a:stretch>
      </xdr:blipFill>
      <xdr:spPr>
        <a:xfrm>
          <a:off x="5019675" y="19050"/>
          <a:ext cx="1647825" cy="409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P%2014%20CELJE%20B%20TURNI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row r="6">
          <cell r="A6" t="str">
            <v>OP 14 CELJE</v>
          </cell>
        </row>
        <row r="8">
          <cell r="A8">
            <v>14</v>
          </cell>
          <cell r="B8" t="str">
            <v>m</v>
          </cell>
          <cell r="C8" t="str">
            <v>B turnir</v>
          </cell>
          <cell r="D8" t="str">
            <v>OP</v>
          </cell>
        </row>
        <row r="10">
          <cell r="A10" t="str">
            <v>1./3.7.2011</v>
          </cell>
          <cell r="B10" t="str">
            <v>Miha Furlan</v>
          </cell>
          <cell r="C10" t="str">
            <v>TK Celje</v>
          </cell>
          <cell r="D10">
            <v>3</v>
          </cell>
          <cell r="E10" t="str">
            <v>Andrej Stefanović</v>
          </cell>
        </row>
      </sheetData>
      <sheetData sheetId="2">
        <row r="21">
          <cell r="P21" t="str">
            <v>Sodnik</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Brez sodnika</v>
          </cell>
        </row>
      </sheetData>
      <sheetData sheetId="4">
        <row r="7">
          <cell r="A7">
            <v>1</v>
          </cell>
          <cell r="B7">
            <v>7700</v>
          </cell>
          <cell r="C7" t="str">
            <v>BEZJAK </v>
          </cell>
          <cell r="D7" t="str">
            <v>BLAŽ</v>
          </cell>
          <cell r="E7" t="str">
            <v>PTUJ</v>
          </cell>
          <cell r="F7">
            <v>98</v>
          </cell>
          <cell r="I7" t="str">
            <v>k</v>
          </cell>
          <cell r="J7">
            <v>80</v>
          </cell>
          <cell r="L7" t="str">
            <v>GT</v>
          </cell>
          <cell r="N7">
            <v>10</v>
          </cell>
          <cell r="Q7" t="str">
            <v>GT</v>
          </cell>
          <cell r="R7">
            <v>1</v>
          </cell>
        </row>
        <row r="8">
          <cell r="A8">
            <v>2</v>
          </cell>
          <cell r="B8">
            <v>7106</v>
          </cell>
          <cell r="C8" t="str">
            <v>PETERLIN</v>
          </cell>
          <cell r="D8" t="str">
            <v>MATIC</v>
          </cell>
          <cell r="E8" t="str">
            <v>ZKLUB</v>
          </cell>
          <cell r="F8">
            <v>98</v>
          </cell>
          <cell r="I8" t="str">
            <v>k</v>
          </cell>
          <cell r="J8">
            <v>84</v>
          </cell>
          <cell r="L8" t="str">
            <v>GT</v>
          </cell>
          <cell r="N8">
            <v>10</v>
          </cell>
          <cell r="Q8" t="str">
            <v>GT</v>
          </cell>
          <cell r="R8">
            <v>2</v>
          </cell>
        </row>
        <row r="9">
          <cell r="A9">
            <v>3</v>
          </cell>
          <cell r="B9">
            <v>7411</v>
          </cell>
          <cell r="C9" t="str">
            <v>HRKAČ</v>
          </cell>
          <cell r="D9" t="str">
            <v>GAŠPER</v>
          </cell>
          <cell r="E9" t="str">
            <v>TR-KR</v>
          </cell>
          <cell r="F9">
            <v>99</v>
          </cell>
          <cell r="I9" t="str">
            <v>k</v>
          </cell>
          <cell r="J9">
            <v>85</v>
          </cell>
          <cell r="L9" t="str">
            <v>GT</v>
          </cell>
          <cell r="N9">
            <v>10</v>
          </cell>
          <cell r="Q9" t="str">
            <v>GT</v>
          </cell>
          <cell r="R9">
            <v>3</v>
          </cell>
        </row>
        <row r="10">
          <cell r="A10">
            <v>4</v>
          </cell>
          <cell r="B10">
            <v>7349</v>
          </cell>
          <cell r="C10" t="str">
            <v>CAF</v>
          </cell>
          <cell r="D10" t="str">
            <v>GREGOR</v>
          </cell>
          <cell r="E10" t="str">
            <v>ŽTKMB</v>
          </cell>
          <cell r="F10">
            <v>99</v>
          </cell>
          <cell r="I10" t="str">
            <v>k</v>
          </cell>
          <cell r="J10">
            <v>86</v>
          </cell>
          <cell r="L10" t="str">
            <v>GT</v>
          </cell>
          <cell r="N10">
            <v>10</v>
          </cell>
          <cell r="Q10" t="str">
            <v>GT</v>
          </cell>
          <cell r="R10">
            <v>4</v>
          </cell>
        </row>
        <row r="11">
          <cell r="A11">
            <v>5</v>
          </cell>
          <cell r="B11">
            <v>7245</v>
          </cell>
          <cell r="C11" t="str">
            <v>KULIĆ</v>
          </cell>
          <cell r="D11" t="str">
            <v>MARK</v>
          </cell>
          <cell r="E11" t="str">
            <v>GROSU</v>
          </cell>
          <cell r="F11">
            <v>97</v>
          </cell>
          <cell r="I11" t="str">
            <v>k</v>
          </cell>
          <cell r="J11">
            <v>89</v>
          </cell>
          <cell r="L11" t="str">
            <v>GT</v>
          </cell>
          <cell r="N11">
            <v>10</v>
          </cell>
          <cell r="Q11" t="str">
            <v>GT</v>
          </cell>
          <cell r="R11">
            <v>5</v>
          </cell>
        </row>
        <row r="12">
          <cell r="A12">
            <v>6</v>
          </cell>
          <cell r="B12">
            <v>7452</v>
          </cell>
          <cell r="C12" t="str">
            <v>RUTAR</v>
          </cell>
          <cell r="D12" t="str">
            <v>MATIC</v>
          </cell>
          <cell r="E12" t="str">
            <v>RADOM</v>
          </cell>
          <cell r="F12">
            <v>97</v>
          </cell>
          <cell r="I12" t="str">
            <v>k</v>
          </cell>
          <cell r="J12">
            <v>91</v>
          </cell>
          <cell r="L12" t="str">
            <v>GT</v>
          </cell>
          <cell r="N12">
            <v>10</v>
          </cell>
          <cell r="Q12" t="str">
            <v>GT</v>
          </cell>
          <cell r="R12">
            <v>6</v>
          </cell>
        </row>
        <row r="13">
          <cell r="A13">
            <v>7</v>
          </cell>
          <cell r="B13">
            <v>7802</v>
          </cell>
          <cell r="C13" t="str">
            <v>DOLENC</v>
          </cell>
          <cell r="D13" t="str">
            <v>ANŽE</v>
          </cell>
          <cell r="E13" t="str">
            <v>RADOM</v>
          </cell>
          <cell r="F13">
            <v>99</v>
          </cell>
          <cell r="I13" t="str">
            <v>k</v>
          </cell>
          <cell r="J13">
            <v>96</v>
          </cell>
          <cell r="L13" t="str">
            <v>GT</v>
          </cell>
          <cell r="N13">
            <v>10</v>
          </cell>
          <cell r="Q13" t="str">
            <v>GT</v>
          </cell>
          <cell r="R13">
            <v>7</v>
          </cell>
        </row>
        <row r="14">
          <cell r="A14">
            <v>8</v>
          </cell>
          <cell r="B14">
            <v>7898</v>
          </cell>
          <cell r="C14" t="str">
            <v>POTISK</v>
          </cell>
          <cell r="D14" t="str">
            <v>GREGOR</v>
          </cell>
          <cell r="E14" t="str">
            <v>BR-MB</v>
          </cell>
          <cell r="F14">
            <v>98</v>
          </cell>
          <cell r="I14" t="str">
            <v>k</v>
          </cell>
          <cell r="J14">
            <v>101</v>
          </cell>
          <cell r="L14" t="str">
            <v>GT</v>
          </cell>
          <cell r="N14">
            <v>10</v>
          </cell>
          <cell r="Q14" t="str">
            <v>GT</v>
          </cell>
          <cell r="R14">
            <v>8</v>
          </cell>
        </row>
        <row r="15">
          <cell r="A15">
            <v>9</v>
          </cell>
          <cell r="B15">
            <v>6863</v>
          </cell>
          <cell r="C15" t="str">
            <v>JUSTIN</v>
          </cell>
          <cell r="D15" t="str">
            <v>URH</v>
          </cell>
          <cell r="E15" t="str">
            <v>TOPOL</v>
          </cell>
          <cell r="F15">
            <v>99</v>
          </cell>
          <cell r="I15" t="str">
            <v>k</v>
          </cell>
          <cell r="J15">
            <v>102</v>
          </cell>
          <cell r="L15" t="str">
            <v>GT</v>
          </cell>
          <cell r="N15">
            <v>10</v>
          </cell>
          <cell r="Q15" t="str">
            <v>GT</v>
          </cell>
        </row>
        <row r="16">
          <cell r="A16">
            <v>10</v>
          </cell>
          <cell r="B16">
            <v>7141</v>
          </cell>
          <cell r="C16" t="str">
            <v>REBERČNIK</v>
          </cell>
          <cell r="D16" t="str">
            <v>DOMEN</v>
          </cell>
          <cell r="E16" t="str">
            <v>ŠTKVE</v>
          </cell>
          <cell r="F16">
            <v>97</v>
          </cell>
          <cell r="I16" t="str">
            <v>k</v>
          </cell>
          <cell r="J16">
            <v>103</v>
          </cell>
          <cell r="L16" t="str">
            <v>GT</v>
          </cell>
          <cell r="N16">
            <v>10</v>
          </cell>
          <cell r="Q16" t="str">
            <v>GT</v>
          </cell>
        </row>
        <row r="17">
          <cell r="A17">
            <v>11</v>
          </cell>
          <cell r="B17">
            <v>6828</v>
          </cell>
          <cell r="C17" t="str">
            <v>JUVAN</v>
          </cell>
          <cell r="D17" t="str">
            <v>MARK</v>
          </cell>
          <cell r="E17" t="str">
            <v>ŠPLUS</v>
          </cell>
          <cell r="F17">
            <v>98</v>
          </cell>
          <cell r="I17" t="str">
            <v>k</v>
          </cell>
          <cell r="J17">
            <v>107</v>
          </cell>
          <cell r="L17" t="str">
            <v>GT</v>
          </cell>
          <cell r="N17">
            <v>10</v>
          </cell>
          <cell r="Q17" t="str">
            <v>GT</v>
          </cell>
        </row>
        <row r="18">
          <cell r="A18">
            <v>12</v>
          </cell>
          <cell r="B18">
            <v>6937</v>
          </cell>
          <cell r="C18" t="str">
            <v>KVAS</v>
          </cell>
          <cell r="D18" t="str">
            <v>MIHA</v>
          </cell>
          <cell r="E18" t="str">
            <v>BR-MB</v>
          </cell>
          <cell r="F18">
            <v>98</v>
          </cell>
          <cell r="I18" t="str">
            <v>k</v>
          </cell>
          <cell r="J18">
            <v>117</v>
          </cell>
          <cell r="L18" t="str">
            <v>GT</v>
          </cell>
          <cell r="N18">
            <v>10</v>
          </cell>
          <cell r="Q18" t="str">
            <v>GT</v>
          </cell>
        </row>
        <row r="19">
          <cell r="A19">
            <v>13</v>
          </cell>
          <cell r="B19">
            <v>7367</v>
          </cell>
          <cell r="C19" t="str">
            <v>DIMITRIJEVIČ</v>
          </cell>
          <cell r="D19" t="str">
            <v>NIK</v>
          </cell>
          <cell r="E19" t="str">
            <v>CELJE</v>
          </cell>
          <cell r="F19">
            <v>99</v>
          </cell>
          <cell r="I19" t="str">
            <v>k</v>
          </cell>
          <cell r="J19">
            <v>118</v>
          </cell>
          <cell r="L19" t="str">
            <v>GT</v>
          </cell>
          <cell r="N19">
            <v>10</v>
          </cell>
          <cell r="Q19" t="str">
            <v>GT</v>
          </cell>
        </row>
        <row r="20">
          <cell r="A20">
            <v>14</v>
          </cell>
          <cell r="B20">
            <v>7786</v>
          </cell>
          <cell r="C20" t="str">
            <v>PURIĆ</v>
          </cell>
          <cell r="D20" t="str">
            <v>DORIAN</v>
          </cell>
          <cell r="E20" t="str">
            <v>KOPER</v>
          </cell>
          <cell r="F20">
            <v>97</v>
          </cell>
          <cell r="I20" t="str">
            <v>k</v>
          </cell>
          <cell r="J20">
            <v>122</v>
          </cell>
          <cell r="L20" t="str">
            <v>GT</v>
          </cell>
          <cell r="N20">
            <v>10</v>
          </cell>
          <cell r="Q20" t="str">
            <v>GT</v>
          </cell>
        </row>
        <row r="21">
          <cell r="A21">
            <v>15</v>
          </cell>
          <cell r="B21">
            <v>7869</v>
          </cell>
          <cell r="C21" t="str">
            <v>SPOLENAK</v>
          </cell>
          <cell r="D21" t="str">
            <v>ŽAN</v>
          </cell>
          <cell r="E21" t="str">
            <v>CELJE</v>
          </cell>
          <cell r="F21">
            <v>98</v>
          </cell>
          <cell r="I21" t="str">
            <v>k</v>
          </cell>
          <cell r="J21">
            <v>135</v>
          </cell>
          <cell r="L21" t="str">
            <v>GT</v>
          </cell>
          <cell r="N21">
            <v>10</v>
          </cell>
          <cell r="Q21" t="str">
            <v>GT</v>
          </cell>
        </row>
        <row r="22">
          <cell r="A22">
            <v>16</v>
          </cell>
          <cell r="B22">
            <v>7783</v>
          </cell>
          <cell r="C22" t="str">
            <v>KOŠTOMAJ</v>
          </cell>
          <cell r="D22" t="str">
            <v>KLEMEN</v>
          </cell>
          <cell r="E22" t="str">
            <v>JEZER</v>
          </cell>
          <cell r="F22">
            <v>36241</v>
          </cell>
          <cell r="L22" t="str">
            <v>GT</v>
          </cell>
          <cell r="N22">
            <v>10</v>
          </cell>
          <cell r="Q22" t="str">
            <v>GT</v>
          </cell>
        </row>
        <row r="23">
          <cell r="A23">
            <v>17</v>
          </cell>
          <cell r="B23">
            <v>7881</v>
          </cell>
          <cell r="C23" t="str">
            <v>REBEC</v>
          </cell>
          <cell r="D23" t="str">
            <v>GAŠPER</v>
          </cell>
          <cell r="E23" t="str">
            <v>IL-BI</v>
          </cell>
          <cell r="F23">
            <v>35522</v>
          </cell>
          <cell r="L23" t="str">
            <v>GT</v>
          </cell>
          <cell r="N23">
            <v>10</v>
          </cell>
          <cell r="Q23" t="str">
            <v>GT</v>
          </cell>
        </row>
        <row r="24">
          <cell r="A24">
            <v>18</v>
          </cell>
          <cell r="B24">
            <v>7307</v>
          </cell>
          <cell r="C24" t="str">
            <v>VAJD</v>
          </cell>
          <cell r="D24" t="str">
            <v>MARK DAVID</v>
          </cell>
          <cell r="E24" t="str">
            <v>HITLJ</v>
          </cell>
          <cell r="F24">
            <v>35749</v>
          </cell>
          <cell r="L24" t="str">
            <v>GT</v>
          </cell>
          <cell r="N24">
            <v>10</v>
          </cell>
          <cell r="Q24" t="str">
            <v>GT</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9">
    <pageSetUpPr fitToPage="1"/>
  </sheetPr>
  <dimension ref="A1:AJ79"/>
  <sheetViews>
    <sheetView showGridLines="0" showZeros="0" tabSelected="1" zoomScalePageLayoutView="0" workbookViewId="0" topLeftCell="A22">
      <selection activeCell="P40" sqref="P40"/>
    </sheetView>
  </sheetViews>
  <sheetFormatPr defaultColWidth="9.140625" defaultRowHeight="12.75"/>
  <cols>
    <col min="1" max="1" width="3.140625" style="0" customWidth="1"/>
    <col min="2" max="2" width="3.5742187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2.7109375" style="231" customWidth="1"/>
    <col min="10" max="10" width="10.7109375" style="0" customWidth="1"/>
    <col min="11" max="11" width="2.421875" style="231" customWidth="1"/>
    <col min="12" max="12" width="10.7109375" style="0" customWidth="1"/>
    <col min="13" max="13" width="1.7109375" style="232" customWidth="1"/>
    <col min="14" max="14" width="10.7109375" style="0" customWidth="1"/>
    <col min="15" max="15" width="1.7109375" style="231" customWidth="1"/>
    <col min="16" max="16" width="10.7109375" style="0" customWidth="1"/>
    <col min="17" max="17" width="3.421875" style="232" customWidth="1"/>
    <col min="18" max="18" width="7.8515625" style="0" customWidth="1"/>
    <col min="19" max="19" width="0.71875" style="0" hidden="1" customWidth="1"/>
    <col min="20" max="20" width="4.7109375" style="0" hidden="1" customWidth="1"/>
    <col min="21" max="21" width="7.7109375" style="22" customWidth="1"/>
    <col min="22" max="22" width="4.140625" style="233" customWidth="1"/>
    <col min="23" max="30" width="9.140625" style="233" customWidth="1"/>
    <col min="31" max="31" width="9.8515625" style="233" customWidth="1"/>
    <col min="32" max="32" width="9.140625" style="234" customWidth="1"/>
    <col min="33" max="33" width="14.57421875" style="233" customWidth="1"/>
    <col min="34" max="34" width="10.8515625" style="233" customWidth="1"/>
    <col min="35" max="35" width="9.140625" style="233" customWidth="1"/>
    <col min="36" max="36" width="9.57421875" style="233" customWidth="1"/>
  </cols>
  <sheetData>
    <row r="1" spans="1:36" s="8" customFormat="1" ht="21.75" customHeight="1">
      <c r="A1" s="1" t="str">
        <f>'[1]vnos podatkov'!$A$6</f>
        <v>OP 14 CELJE</v>
      </c>
      <c r="B1" s="2"/>
      <c r="C1" s="3"/>
      <c r="D1" s="3"/>
      <c r="E1" s="3"/>
      <c r="F1" s="3"/>
      <c r="G1" s="3"/>
      <c r="H1" s="1"/>
      <c r="I1" s="4"/>
      <c r="J1" s="5" t="s">
        <v>0</v>
      </c>
      <c r="K1" s="6"/>
      <c r="L1" s="7"/>
      <c r="M1" s="4"/>
      <c r="N1" s="4" t="s">
        <v>1</v>
      </c>
      <c r="O1" s="4"/>
      <c r="P1" s="3"/>
      <c r="Q1" s="4"/>
      <c r="U1" s="9"/>
      <c r="V1" s="10" t="str">
        <f>'[1]vnos podatkov'!$A$6</f>
        <v>OP 14 CELJE</v>
      </c>
      <c r="W1" s="11"/>
      <c r="X1" s="11"/>
      <c r="Y1" s="11"/>
      <c r="Z1" s="11"/>
      <c r="AA1" s="11"/>
      <c r="AB1" s="11"/>
      <c r="AC1" s="11"/>
      <c r="AD1" s="11"/>
      <c r="AE1" s="11"/>
      <c r="AF1" s="12"/>
      <c r="AG1" s="11"/>
      <c r="AH1" s="11"/>
      <c r="AI1" s="11"/>
      <c r="AJ1" s="11"/>
    </row>
    <row r="2" spans="1:36" ht="12.75">
      <c r="A2" s="13">
        <f>'[1]vnos podatkov'!$A$8</f>
        <v>14</v>
      </c>
      <c r="B2" s="14" t="str">
        <f>'[1]vnos podatkov'!$B$8</f>
        <v>m</v>
      </c>
      <c r="C2" s="15" t="str">
        <f>'[1]vnos podatkov'!$C$8</f>
        <v>B turnir</v>
      </c>
      <c r="D2" s="14"/>
      <c r="E2" s="14"/>
      <c r="F2" s="16"/>
      <c r="G2" s="17"/>
      <c r="H2" s="17"/>
      <c r="I2" s="18"/>
      <c r="J2" s="19" t="s">
        <v>2</v>
      </c>
      <c r="K2" s="6"/>
      <c r="L2" s="20"/>
      <c r="M2" s="18"/>
      <c r="N2" s="17"/>
      <c r="O2" s="18"/>
      <c r="P2" s="17"/>
      <c r="Q2" s="18"/>
      <c r="R2" s="21"/>
      <c r="S2" s="21"/>
      <c r="T2" s="21"/>
      <c r="V2" s="23">
        <f>'[1]vnos podatkov'!$A$8</f>
        <v>14</v>
      </c>
      <c r="W2" s="24" t="str">
        <f>'[1]vnos podatkov'!$B$8</f>
        <v>m</v>
      </c>
      <c r="X2" s="24" t="str">
        <f>'[1]vnos podatkov'!$C$8</f>
        <v>B turnir</v>
      </c>
      <c r="Y2" s="25" t="str">
        <f>'[1]vnos podatkov'!$A$10</f>
        <v>1./3.7.2011</v>
      </c>
      <c r="Z2" s="26"/>
      <c r="AA2" s="26"/>
      <c r="AB2" s="26"/>
      <c r="AC2" s="26"/>
      <c r="AD2" s="26"/>
      <c r="AE2" s="26"/>
      <c r="AF2" s="27"/>
      <c r="AG2" s="26"/>
      <c r="AH2" s="26"/>
      <c r="AI2" s="26"/>
      <c r="AJ2" s="26"/>
    </row>
    <row r="3" spans="1:36" s="34" customFormat="1" ht="11.25" customHeight="1">
      <c r="A3" s="28" t="s">
        <v>3</v>
      </c>
      <c r="B3" s="28"/>
      <c r="C3" s="28"/>
      <c r="D3" s="29" t="s">
        <v>4</v>
      </c>
      <c r="E3" s="28"/>
      <c r="F3" s="30" t="s">
        <v>5</v>
      </c>
      <c r="G3" s="30"/>
      <c r="H3" s="28"/>
      <c r="I3" s="31"/>
      <c r="J3" s="32" t="s">
        <v>6</v>
      </c>
      <c r="K3" s="31"/>
      <c r="L3" s="28" t="s">
        <v>7</v>
      </c>
      <c r="M3" s="31"/>
      <c r="N3" s="32" t="s">
        <v>8</v>
      </c>
      <c r="O3" s="31"/>
      <c r="P3" s="28"/>
      <c r="Q3" s="33" t="s">
        <v>9</v>
      </c>
      <c r="U3" s="35"/>
      <c r="V3" s="36" t="s">
        <v>10</v>
      </c>
      <c r="W3" s="37"/>
      <c r="X3" s="37"/>
      <c r="Y3" s="38"/>
      <c r="Z3" s="39"/>
      <c r="AA3" s="39"/>
      <c r="AB3" s="39"/>
      <c r="AC3" s="39"/>
      <c r="AD3" s="39"/>
      <c r="AE3" s="40"/>
      <c r="AF3" s="41"/>
      <c r="AG3" s="42"/>
      <c r="AH3" s="42"/>
      <c r="AI3" s="42"/>
      <c r="AJ3" s="42"/>
    </row>
    <row r="4" spans="1:36" s="51" customFormat="1" ht="11.25" customHeight="1" thickBot="1">
      <c r="A4" s="43" t="str">
        <f>'[1]vnos podatkov'!$D$8</f>
        <v>OP</v>
      </c>
      <c r="B4" s="43"/>
      <c r="C4" s="43"/>
      <c r="D4" s="43" t="str">
        <f>'[1]vnos podatkov'!$A$10</f>
        <v>1./3.7.2011</v>
      </c>
      <c r="E4" s="44"/>
      <c r="F4" s="45" t="str">
        <f>'[1]vnos podatkov'!$C$10</f>
        <v>TK Celje</v>
      </c>
      <c r="G4" s="45"/>
      <c r="H4" s="45"/>
      <c r="I4" s="46"/>
      <c r="J4" s="47">
        <f>'[1]vnos podatkov'!$D$10</f>
        <v>3</v>
      </c>
      <c r="K4" s="46"/>
      <c r="L4" s="48" t="str">
        <f>'[1]vnos podatkov'!$B$10</f>
        <v>Miha Furlan</v>
      </c>
      <c r="M4" s="46"/>
      <c r="N4" s="49">
        <f>COUNTIF(C7:C69,"&gt;0")</f>
        <v>18</v>
      </c>
      <c r="O4" s="46"/>
      <c r="P4" s="44"/>
      <c r="Q4" s="50" t="str">
        <f>'[1]vnos podatkov'!$E$10</f>
        <v>Andrej Stefanović</v>
      </c>
      <c r="U4" s="52"/>
      <c r="V4" s="53"/>
      <c r="W4" s="53"/>
      <c r="X4" s="53"/>
      <c r="Y4" s="54"/>
      <c r="Z4" s="54"/>
      <c r="AA4" s="54"/>
      <c r="AB4" s="54"/>
      <c r="AC4" s="54"/>
      <c r="AD4" s="54"/>
      <c r="AE4" s="54"/>
      <c r="AF4" s="55"/>
      <c r="AG4" s="53"/>
      <c r="AH4" s="53"/>
      <c r="AI4" s="53"/>
      <c r="AJ4" s="53"/>
    </row>
    <row r="5" spans="1:36" s="34" customFormat="1" ht="12.75">
      <c r="A5" s="56"/>
      <c r="B5" s="57" t="s">
        <v>11</v>
      </c>
      <c r="C5" s="57" t="s">
        <v>12</v>
      </c>
      <c r="D5" s="57" t="s">
        <v>13</v>
      </c>
      <c r="E5" s="58" t="s">
        <v>14</v>
      </c>
      <c r="F5" s="58" t="s">
        <v>15</v>
      </c>
      <c r="G5" s="58"/>
      <c r="H5" s="58" t="s">
        <v>5</v>
      </c>
      <c r="I5" s="59"/>
      <c r="J5" s="57" t="s">
        <v>16</v>
      </c>
      <c r="K5" s="60"/>
      <c r="L5" s="57" t="s">
        <v>17</v>
      </c>
      <c r="M5" s="60"/>
      <c r="N5" s="57" t="s">
        <v>18</v>
      </c>
      <c r="O5" s="60"/>
      <c r="P5" s="57" t="s">
        <v>19</v>
      </c>
      <c r="Q5" s="61"/>
      <c r="U5" s="35" t="s">
        <v>12</v>
      </c>
      <c r="V5" s="62" t="s">
        <v>20</v>
      </c>
      <c r="W5" s="63" t="s">
        <v>14</v>
      </c>
      <c r="X5" s="63" t="s">
        <v>15</v>
      </c>
      <c r="Y5" s="64" t="s">
        <v>21</v>
      </c>
      <c r="Z5" s="64" t="s">
        <v>22</v>
      </c>
      <c r="AA5" s="64" t="s">
        <v>17</v>
      </c>
      <c r="AB5" s="64" t="s">
        <v>18</v>
      </c>
      <c r="AC5" s="64" t="s">
        <v>23</v>
      </c>
      <c r="AD5" s="64" t="s">
        <v>24</v>
      </c>
      <c r="AE5" s="65" t="s">
        <v>25</v>
      </c>
      <c r="AF5" s="41"/>
      <c r="AG5" s="42"/>
      <c r="AH5" s="42"/>
      <c r="AI5" s="42"/>
      <c r="AJ5" s="42"/>
    </row>
    <row r="6" spans="1:36" s="34" customFormat="1" ht="3.75" customHeight="1" thickBot="1">
      <c r="A6" s="66"/>
      <c r="B6" s="67"/>
      <c r="C6" s="68"/>
      <c r="D6" s="67"/>
      <c r="E6" s="69"/>
      <c r="F6" s="70"/>
      <c r="G6" s="71"/>
      <c r="H6" s="69"/>
      <c r="I6" s="72"/>
      <c r="J6" s="67"/>
      <c r="K6" s="72"/>
      <c r="L6" s="67"/>
      <c r="M6" s="72"/>
      <c r="N6" s="67"/>
      <c r="O6" s="72"/>
      <c r="P6" s="67"/>
      <c r="Q6" s="73"/>
      <c r="U6" s="35"/>
      <c r="V6" s="74"/>
      <c r="W6" s="75"/>
      <c r="X6" s="75"/>
      <c r="Y6" s="76"/>
      <c r="Z6" s="76"/>
      <c r="AA6" s="76"/>
      <c r="AB6" s="76"/>
      <c r="AC6" s="76"/>
      <c r="AD6" s="76"/>
      <c r="AE6" s="77"/>
      <c r="AF6" s="41"/>
      <c r="AG6" s="42"/>
      <c r="AH6" s="42"/>
      <c r="AI6" s="42"/>
      <c r="AJ6" s="42"/>
    </row>
    <row r="7" spans="1:36" s="89" customFormat="1" ht="10.5" customHeight="1">
      <c r="A7" s="78">
        <v>1</v>
      </c>
      <c r="B7" s="79" t="s">
        <v>26</v>
      </c>
      <c r="C7" s="79">
        <f>IF($D7="","",VLOOKUP($D7,'[1]m glavni turnir žrebna lista'!$A$7:$R$38,2))</f>
        <v>7700</v>
      </c>
      <c r="D7" s="80">
        <v>1</v>
      </c>
      <c r="E7" s="79" t="str">
        <f>UPPER(IF($D7="","",VLOOKUP($D7,'[1]m glavni turnir žrebna lista'!$A$7:$R$38,3)))</f>
        <v>BEZJAK </v>
      </c>
      <c r="F7" s="79" t="str">
        <f>PROPER(IF($D7="","",VLOOKUP($D7,'[1]m glavni turnir žrebna lista'!$A$7:$R$38,4)))</f>
        <v>Blaž</v>
      </c>
      <c r="G7" s="79"/>
      <c r="H7" s="79" t="str">
        <f>IF($D7="","",VLOOKUP($D7,'[1]m glavni turnir žrebna lista'!$A$7:$R$38,5))</f>
        <v>PTUJ</v>
      </c>
      <c r="I7" s="81">
        <f>IF($D7="","",VLOOKUP($D7,'[1]m glavni turnir žrebna lista'!$A$7:$R$38,14))</f>
        <v>10</v>
      </c>
      <c r="J7" s="82"/>
      <c r="K7" s="83"/>
      <c r="L7" s="82"/>
      <c r="M7" s="83"/>
      <c r="N7" s="84"/>
      <c r="O7" s="85"/>
      <c r="P7" s="86"/>
      <c r="Q7" s="87"/>
      <c r="R7" s="88"/>
      <c r="T7" s="90" t="str">
        <f>'[1]glavni sodniki'!P21</f>
        <v>Sodnik</v>
      </c>
      <c r="U7" s="35">
        <f>IF($D7="","",VLOOKUP($D7,'[1]m glavni turnir žrebna lista'!$A$7:$R$38,2))</f>
        <v>7700</v>
      </c>
      <c r="V7" s="63">
        <v>1</v>
      </c>
      <c r="W7" s="63" t="str">
        <f>UPPER(IF($D7="","",VLOOKUP($D7,'[1]m glavni turnir žrebna lista'!$A$7:$R$38,3)))</f>
        <v>BEZJAK </v>
      </c>
      <c r="X7" s="63" t="str">
        <f>PROPER(IF($D7="","",VLOOKUP($D7,'[1]m glavni turnir žrebna lista'!$A$7:$R$38,4)))</f>
        <v>Blaž</v>
      </c>
      <c r="Y7" s="91">
        <f aca="true" t="shared" si="0" ref="Y7:Y38">IF(W7="","",IF($Q$63=1,30,IF($Q$63=2,15,IF($Q$63=3,10,""))))</f>
        <v>10</v>
      </c>
      <c r="Z7" s="64">
        <f>IF(Y7="","",IF(AND($Q$63=1,$U$8=$U$7),30,IF(AND($Q$63=2,$U$8=$U$7),15,IF(AND($Q$63=3,$U$8=$U$7),10,""))))</f>
        <v>10</v>
      </c>
      <c r="AA7" s="64">
        <f>IF(Z7="","",IF(AND($Q$63=1,$U$8=$U$10,$U$10=$U$7),60,IF(AND($Q$63=2,$U$8=$U$10,$U$10=$U$7),30,IF(AND($Q$63=3,$U$8=$U$10,$U$10=$U$7),20,""))))</f>
        <v>20</v>
      </c>
      <c r="AB7" s="64">
        <f>IF(AA7="","",IF(AND($Q$63=1,$U$8=$U$10,$U$10=$U$7,$U$10=$U$14),120,IF(AND($Q$63=2,$U$8=$U$10,$U$10=$U$7,$U$10=$U$14),60,IF(AND($Q$63=3,$U$8=$U$10,$U$10=$U$7,$U$10=$U$14),40,""))))</f>
      </c>
      <c r="AC7" s="64">
        <f>IF(AB7="","",IF(AND($Q$63=1,$U$8=$U$10,$U$10=$U$7,$U$10=$U$14,$U$22=$U$14),120,IF(AND($Q$63=2,$U$8=$U$10,$U$10=$U$7,$U$10=$U$14,$U$22=$U$14),60,IF(AND($Q$63=3,$U$8=$U$10,$U$10=$U$7,$U$10=$U$14,$U$22=$U$14),40,""))))</f>
      </c>
      <c r="AD7" s="64">
        <f>IF(AC7="","",IF(AND($Q$63=1,$U$8=$U$10,$U$10=$U$7,$U$10=$U$14,$U$22=$U$14,$U$38=$U$22),120,IF(AND($Q$63=2,$U$8=$U$10,$U$10=$U$7,$U$10=$U$14,$U$22=$U$14,$U$38=$U$22),60,IF(AND($Q$63=3,$U$8=$U$10,$U$10=$U$7,$U$10=$U$14,$U$22=$U$14,$U$38=$U$22),40,""))))</f>
      </c>
      <c r="AE7" s="92">
        <f>IF($C$2="B turnir",SUM(Y7:AD7)*0.1,SUM(Y7:AD7))</f>
        <v>4</v>
      </c>
      <c r="AF7" s="41"/>
      <c r="AG7" s="93"/>
      <c r="AH7" s="93"/>
      <c r="AI7" s="93"/>
      <c r="AJ7" s="93"/>
    </row>
    <row r="8" spans="1:36" s="89" customFormat="1" ht="9" customHeight="1">
      <c r="A8" s="94"/>
      <c r="B8" s="95"/>
      <c r="C8" s="95"/>
      <c r="D8" s="95"/>
      <c r="E8" s="96"/>
      <c r="F8" s="96"/>
      <c r="G8" s="97"/>
      <c r="H8" s="98" t="s">
        <v>27</v>
      </c>
      <c r="I8" s="99" t="s">
        <v>28</v>
      </c>
      <c r="J8" s="100" t="str">
        <f>UPPER(IF(OR(I8="a",I8="as"),E7,IF(OR(I8="b",I8="bs"),E9,)))</f>
        <v>BEZJAK </v>
      </c>
      <c r="K8" s="101">
        <f>IF(OR(I8="a",I8="as"),I7,IF(OR(I8="b",I8="bs"),I9,))</f>
        <v>10</v>
      </c>
      <c r="L8" s="82"/>
      <c r="M8" s="83"/>
      <c r="N8" s="84"/>
      <c r="O8" s="85"/>
      <c r="P8" s="86"/>
      <c r="Q8" s="87"/>
      <c r="R8" s="88"/>
      <c r="T8" s="102" t="str">
        <f>'[1]glavni sodniki'!P22</f>
        <v> </v>
      </c>
      <c r="U8" s="35">
        <f>IF(OR(I8="a",I8="as"),C7,IF(OR(I8="b",I8="bs"),C9,""))</f>
        <v>7700</v>
      </c>
      <c r="V8" s="63">
        <v>2</v>
      </c>
      <c r="W8" s="103">
        <f>UPPER(IF($D9="","",VLOOKUP($D9,'[1]m glavni turnir žrebna lista'!$A$7:$R$38,3)))</f>
      </c>
      <c r="X8" s="103">
        <f>PROPER(IF($D9="","",VLOOKUP($D9,'[1]m glavni turnir žrebna lista'!$A$7:$R$38,4)))</f>
      </c>
      <c r="Y8" s="104">
        <f t="shared" si="0"/>
      </c>
      <c r="Z8" s="104">
        <f>IF(Y8="","",IF(AND($Q$63=1,U9=$U$8),30,IF(AND($Q$63=2,U9=$U$8),15,IF(AND($Q$63=3,U9=$U$8),10,""))))</f>
      </c>
      <c r="AA8" s="104">
        <f>IF(Z8="","",IF(AND($Q$63=1,U9=$U$10,$U$10=$U$8),60,IF(AND($Q$63=2,U9=$U$10,$U$10=$U$8),30,IF(AND($Q$63=3,U9=$U$10,$U$10=$U$8),20,""))))</f>
      </c>
      <c r="AB8" s="104">
        <f>IF(AA8="","",IF(AND($Q$63=1,$U$8=U9,$U$8=$U$10,$U$10=$U$14),120,IF(AND($Q$63=2,$U$8=U9,$U$8=$U$10,$U$10=$U$14),60,IF(AND($Q$63=3,$U$8=U9,$U$8=$U$10,$U$10=$U$14),40,""))))</f>
      </c>
      <c r="AC8" s="104">
        <f>IF(AB8="","",IF(AND($Q$63=1,$U$8=$U$10,$U$10=$U$9,$U$10=$U$14,$U$22=$U$14),120,IF(AND($Q$63=2,$U$8=$U$10,$U$10=$U$9,$U$10=$U$14,$U$22=$U$14),60,IF(AND($Q$63=3,$U$8=$U$10,$U$10=$U$9,$U$10=$U$14,$U$22=$U$14),40,""))))</f>
      </c>
      <c r="AD8" s="104">
        <f>IF(AC8="","",IF(AND($Q$63=1,$U$8=$U$10,$U$10=$U$9,$U$10=$U$14,$U$22=$U$14,$U$38=$U$22),120,IF(AND($Q$63=2,$U$8=$U$10,$U$10=$U$9,$U$10=$U$14,$U$22=$U$14,$U$38=$U$22),60,IF(AND($Q$63=3,$U$8=$U$10,$U$10=$U$9,$U$10=$U$14,$U$22=$U$14,$U$38=$U$22),40,""))))</f>
      </c>
      <c r="AE8" s="105">
        <f aca="true" t="shared" si="1" ref="AE8:AE38">IF($C$2="B turnir",SUM(Y8:AD8)*0.1,SUM(Y8:AD8))</f>
        <v>0</v>
      </c>
      <c r="AF8" s="41"/>
      <c r="AG8" s="93"/>
      <c r="AH8" s="93"/>
      <c r="AI8" s="93"/>
      <c r="AJ8" s="93"/>
    </row>
    <row r="9" spans="1:36" s="89" customFormat="1" ht="9" customHeight="1">
      <c r="A9" s="94">
        <v>2</v>
      </c>
      <c r="B9" s="106">
        <f>IF($D9="","",VLOOKUP($D9,'[1]m glavni turnir žrebna lista'!$A$7:$R$38,17))</f>
      </c>
      <c r="C9" s="106">
        <f>IF($D9="","",VLOOKUP($D9,'[1]m glavni turnir žrebna lista'!$A$7:$R$38,2))</f>
      </c>
      <c r="D9" s="80"/>
      <c r="E9" s="107" t="s">
        <v>29</v>
      </c>
      <c r="F9" s="107">
        <f>PROPER(IF($D9="","",VLOOKUP($D9,'[1]m glavni turnir žrebna lista'!$A$7:$R$38,4)))</f>
      </c>
      <c r="G9" s="107"/>
      <c r="H9" s="107">
        <f>IF($D9="","",VLOOKUP($D9,'[1]m glavni turnir žrebna lista'!$A$7:$R$38,5))</f>
      </c>
      <c r="I9" s="108">
        <f>IF($D9="","",VLOOKUP($D9,'[1]m glavni turnir žrebna lista'!$A$7:$R$38,14))</f>
      </c>
      <c r="J9" s="109"/>
      <c r="K9" s="110"/>
      <c r="L9" s="82"/>
      <c r="M9" s="83"/>
      <c r="N9" s="84"/>
      <c r="O9" s="85"/>
      <c r="P9" s="86"/>
      <c r="Q9" s="87"/>
      <c r="R9" s="88"/>
      <c r="T9" s="102" t="str">
        <f>'[1]glavni sodniki'!P23</f>
        <v> </v>
      </c>
      <c r="U9" s="35">
        <f>IF($D9="","",VLOOKUP($D9,'[1]m glavni turnir žrebna lista'!$A$7:$R$38,2))</f>
      </c>
      <c r="V9" s="63">
        <v>3</v>
      </c>
      <c r="W9" s="63" t="str">
        <f>UPPER(IF($D11="","",VLOOKUP($D11,'[1]m glavni turnir žrebna lista'!$A$7:$R$38,3)))</f>
        <v>SPOLENAK</v>
      </c>
      <c r="X9" s="63" t="str">
        <f>PROPER(IF($D11="","",VLOOKUP($D11,'[1]m glavni turnir žrebna lista'!$A$7:$R$38,4)))</f>
        <v>Žan</v>
      </c>
      <c r="Y9" s="64">
        <f t="shared" si="0"/>
        <v>10</v>
      </c>
      <c r="Z9" s="64">
        <f>IF(Y9="","",IF(AND($Q$63=1,U11=U12),30,IF(AND($Q$63=2,U11=U12),15,IF(AND($Q$63=3,U11=U12),10,""))))</f>
        <v>10</v>
      </c>
      <c r="AA9" s="64">
        <f>IF(Z9="","",IF(AND($Q$63=1,$U$10=U11,U11=U12),60,IF(AND($Q$63=2,$U$10=U11,U11=U12),30,IF(AND($Q$63=3,$U$10=U11,U11=U12),20,""))))</f>
      </c>
      <c r="AB9" s="64">
        <f>IF(AA9="","",IF(AND($Q$63=1,$U$14=$U$10,$U$10=U12,U11=U12),120,IF(AND($Q$63=2,$U$10=$U$14,$U$10=U12,U12=U11),60,IF(AND($Q$63=3,$U$10=$U$14,$U$10=U12,U12=U11),40,""))))</f>
      </c>
      <c r="AC9" s="64">
        <f>IF(AB9="","",IF(AND($Q$63=1,$U$11=$U$12,$U$10=$U$12,$U$10=$U$14,$U$22=$U$14),120,IF(AND($Q$63=2,$U$11=$U$12,$U$12=$U$10,$U$10=$U$14,$U$22=$U$14),60,IF(AND($Q$63=3,$U$11=$U$12,$U$12=$U$10,$U$10=$U$14,$U$22=$U$14),40,""))))</f>
      </c>
      <c r="AD9" s="64">
        <f>IF(AC9="","",IF(AND($Q$63=1,$U$11=$U$12,$U$10=$U$12,$U$10=$U$14,$U$22=$U$14,$U$38=$U$22),120,IF(AND($Q$63=2,$U$11=$U$12,$U$12=$U$10,$U$10=$U$14,$U$22=$U$14,$U$38=$U$22),60,IF(AND($Q$63=3,$U$11=$U$12,$U$12=$U$10,$U$10=$U$14,$U$22=$U$14,$U$38=$U$22),40,""))))</f>
      </c>
      <c r="AE9" s="92">
        <f t="shared" si="1"/>
        <v>2</v>
      </c>
      <c r="AF9" s="41"/>
      <c r="AG9" s="93"/>
      <c r="AH9" s="93"/>
      <c r="AI9" s="93"/>
      <c r="AJ9" s="93"/>
    </row>
    <row r="10" spans="1:36" s="89" customFormat="1" ht="9" customHeight="1">
      <c r="A10" s="94"/>
      <c r="B10" s="95"/>
      <c r="C10" s="95"/>
      <c r="D10" s="111"/>
      <c r="E10" s="96"/>
      <c r="F10" s="96"/>
      <c r="G10" s="97"/>
      <c r="H10" s="96"/>
      <c r="I10" s="112"/>
      <c r="J10" s="98" t="s">
        <v>27</v>
      </c>
      <c r="K10" s="113" t="s">
        <v>28</v>
      </c>
      <c r="L10" s="100" t="str">
        <f>UPPER(IF(OR(K10="a",K10="as"),J8,IF(OR(K10="b",K10="bs"),J12,)))</f>
        <v>BEZJAK </v>
      </c>
      <c r="M10" s="114">
        <f>IF(OR(K10="a",K10="as"),K8,IF(OR(K10="b",K10="bs"),K12,))</f>
        <v>10</v>
      </c>
      <c r="N10" s="115"/>
      <c r="O10" s="116"/>
      <c r="P10" s="86"/>
      <c r="Q10" s="87"/>
      <c r="R10" s="88"/>
      <c r="T10" s="102" t="str">
        <f>'[1]glavni sodniki'!P24</f>
        <v> </v>
      </c>
      <c r="U10" s="35">
        <f>IF(OR(K10="a",K10="as"),$U$8,IF(OR(K10="b",K10="bs"),U12,""))</f>
        <v>7700</v>
      </c>
      <c r="V10" s="63">
        <v>4</v>
      </c>
      <c r="W10" s="117">
        <f>UPPER(IF($D13="","",VLOOKUP($D13,'[1]m glavni turnir žrebna lista'!$A$7:$R$38,3)))</f>
      </c>
      <c r="X10" s="117">
        <f>PROPER(IF($D13="","",VLOOKUP($D13,'[1]m glavni turnir žrebna lista'!$A$7:$R$38,4)))</f>
      </c>
      <c r="Y10" s="104">
        <f t="shared" si="0"/>
      </c>
      <c r="Z10" s="104">
        <f>IF(Y10="","",IF(AND($Q$63=1,U12=U13),30,IF(AND($Q$63=2,U12=U13),15,IF(AND($Q$63=3,U12=U13),10,""))))</f>
      </c>
      <c r="AA10" s="104">
        <f>IF(Z10="","",IF(AND($Q$63=1,$U$10=U12,U12=U13),60,IF(AND($Q$63=2,$U$10=U12,U12=U13),30,IF(AND($Q$63=3,$U$10=U12,U12=U13),20,""))))</f>
      </c>
      <c r="AB10" s="104">
        <f>IF(AA10="","",IF(AND($Q$63=1,$U$14=$U$10,$U$10=U12,U12=U13),120,IF(AND($Q$63=2,$U$14=$U$10,$U$10=U12,U13=U12),60,IF(AND($Q$63=3,$U$14=$U$10,$U$10=U12,U13=U12),40,""))))</f>
      </c>
      <c r="AC10" s="104">
        <f>IF(AB10="","",IF(AND($Q$63=1,$U$13=$U$12,$U$10=$U$12,$U$10=$U$14,$U$22=$U$14),120,IF(AND($Q$63=2,$U$13=$U$12,$U$12=$U$10,$U$10=$U$14,$U$22=$U$14),60,IF(AND($Q$63=3,$U$13=$U$12,$U$12=$U$10,$U$10=$U$14,$U$22=$U$14),40,""))))</f>
      </c>
      <c r="AD10" s="104">
        <f>IF(AC10="","",IF(AND($Q$63=1,$U$13=$U$12,$U$10=$U$12,$U$10=$U$14,$U$22=$U$14,$U$38=$U$22),120,IF(AND($Q$63=2,$U$13=$U$12,$U$12=$U$10,$U$10=$U$14,$U$22=$U$14,$U$38=$U$22),60,IF(AND($Q$63=3,$U$13=$U$12,$U$12=$U$10,$U$10=$U$14,$U$22=$U$14,$U$38=$U$22),40,""))))</f>
      </c>
      <c r="AE10" s="105">
        <f t="shared" si="1"/>
        <v>0</v>
      </c>
      <c r="AF10" s="41"/>
      <c r="AG10" s="93"/>
      <c r="AH10" s="93"/>
      <c r="AI10" s="93"/>
      <c r="AJ10" s="93"/>
    </row>
    <row r="11" spans="1:36" s="89" customFormat="1" ht="9" customHeight="1">
      <c r="A11" s="94">
        <v>3</v>
      </c>
      <c r="B11" s="106" t="s">
        <v>26</v>
      </c>
      <c r="C11" s="106">
        <f>IF($D11="","",VLOOKUP($D11,'[1]m glavni turnir žrebna lista'!$A$7:$R$38,2))</f>
        <v>7869</v>
      </c>
      <c r="D11" s="80">
        <v>15</v>
      </c>
      <c r="E11" s="107" t="str">
        <f>UPPER(IF($D11="","",VLOOKUP($D11,'[1]m glavni turnir žrebna lista'!$A$7:$R$38,3)))</f>
        <v>SPOLENAK</v>
      </c>
      <c r="F11" s="107" t="str">
        <f>PROPER(IF($D11="","",VLOOKUP($D11,'[1]m glavni turnir žrebna lista'!$A$7:$R$38,4)))</f>
        <v>Žan</v>
      </c>
      <c r="G11" s="107"/>
      <c r="H11" s="107" t="str">
        <f>IF($D11="","",VLOOKUP($D11,'[1]m glavni turnir žrebna lista'!$A$7:$R$38,5))</f>
        <v>CELJE</v>
      </c>
      <c r="I11" s="81">
        <f>IF($D11="","",VLOOKUP($D11,'[1]m glavni turnir žrebna lista'!$A$7:$R$38,14))</f>
        <v>10</v>
      </c>
      <c r="J11" s="82"/>
      <c r="K11" s="118"/>
      <c r="L11" s="109" t="s">
        <v>30</v>
      </c>
      <c r="M11" s="119"/>
      <c r="N11" s="115"/>
      <c r="O11" s="116"/>
      <c r="P11" s="86"/>
      <c r="Q11" s="87"/>
      <c r="R11" s="88"/>
      <c r="T11" s="102" t="str">
        <f>'[1]glavni sodniki'!P25</f>
        <v> </v>
      </c>
      <c r="U11" s="35">
        <f>IF($D11="","",VLOOKUP($D11,'[1]m glavni turnir žrebna lista'!$A$7:$R$38,2))</f>
        <v>7869</v>
      </c>
      <c r="V11" s="63">
        <v>5</v>
      </c>
      <c r="W11" s="63" t="str">
        <f>UPPER(IF($D15="","",VLOOKUP($D15,'[1]m glavni turnir žrebna lista'!$A$7:$R$38,3)))</f>
        <v>JUVAN</v>
      </c>
      <c r="X11" s="63" t="str">
        <f>PROPER(IF($D15="","",VLOOKUP($D15,'[1]m glavni turnir žrebna lista'!$A$7:$R$38,4)))</f>
        <v>Mark</v>
      </c>
      <c r="Y11" s="64">
        <f t="shared" si="0"/>
        <v>10</v>
      </c>
      <c r="Z11" s="64">
        <f>IF(Y11="","",IF(AND($Q$63=1,U15=U16),30,IF(AND($Q$63=2,U15=U16),15,IF(AND($Q$63=3,U15=U16),10,""))))</f>
        <v>10</v>
      </c>
      <c r="AA11" s="64">
        <f>IF(Z11="","",IF(AND($Q$63=1,U15=U16,U16=U18),60,IF(AND($Q$63=2,U15=U16,U16=U18),30,IF(AND($Q$63=3,U15=U16,U16=U18),20,""))))</f>
      </c>
      <c r="AB11" s="64">
        <f>IF(AA11="","",IF(AND($Q$63=1,U15=$U$14,U15=U16,U16=U18),120,IF(AND($Q$63=2,U15=$U$14,U15=U16,U16=U18),60,IF(AND($Q$63=3,U15=$U$14,U15=U16,U16=U18),40,""))))</f>
      </c>
      <c r="AC11" s="64">
        <f>IF(AB11="","",IF(AND($Q$63=1,$U$15=$U$16,$U$16=$U$18,$U$18=$U$14,$U$22=$U$14),120,IF(AND($Q$63=2,$U$15=$U$16,$U$16=$U$18,$U$18=$U$14,$U$22=$U$14),60,IF(AND($Q$63=3,$U$15=$U$16,$U$16=$U$18,$U$18=$U$14,$U$22=$U$14),40,""))))</f>
      </c>
      <c r="AD11" s="64">
        <f>IF(AC11="","",IF(AND($Q$63=1,$U$15=$U$16,$U$16=$U$18,$U$18=$U$14,$U$22=$U$14,$U$38=$U$22),120,IF(AND($Q$63=2,$U$15=$U$16,$U$16=$U$18,$U$18=$U$14,$U$22=$U$14,$U$38=$U$22),60,IF(AND($Q$63=3,$U$15=$U$16,$U$16=$U$18,$U$18=$U$14,$U$22=$U$14,$U$38=$U$22),40,""))))</f>
      </c>
      <c r="AE11" s="92">
        <f t="shared" si="1"/>
        <v>2</v>
      </c>
      <c r="AF11" s="41"/>
      <c r="AG11" s="93"/>
      <c r="AH11" s="93"/>
      <c r="AI11" s="93"/>
      <c r="AJ11" s="93"/>
    </row>
    <row r="12" spans="1:36" s="89" customFormat="1" ht="9" customHeight="1">
      <c r="A12" s="94"/>
      <c r="B12" s="95"/>
      <c r="C12" s="95"/>
      <c r="D12" s="111"/>
      <c r="E12" s="96"/>
      <c r="F12" s="96"/>
      <c r="G12" s="97"/>
      <c r="H12" s="98" t="s">
        <v>27</v>
      </c>
      <c r="I12" s="99" t="s">
        <v>28</v>
      </c>
      <c r="J12" s="100" t="str">
        <f>UPPER(IF(OR(I12="a",I12="as"),E11,IF(OR(I12="b",I12="bs"),E13,)))</f>
        <v>SPOLENAK</v>
      </c>
      <c r="K12" s="120">
        <f>IF(OR(I12="a",I12="as"),I11,IF(OR(I12="b",I12="bs"),I13,))</f>
        <v>10</v>
      </c>
      <c r="L12" s="82"/>
      <c r="M12" s="119"/>
      <c r="N12" s="115"/>
      <c r="O12" s="116"/>
      <c r="P12" s="86"/>
      <c r="Q12" s="87"/>
      <c r="R12" s="88"/>
      <c r="T12" s="102" t="str">
        <f>'[1]glavni sodniki'!P26</f>
        <v> </v>
      </c>
      <c r="U12" s="35">
        <f>IF(OR(I12="a",I12="as"),C11,IF(OR(I12="b",I12="bs"),C13,""))</f>
        <v>7869</v>
      </c>
      <c r="V12" s="63">
        <v>6</v>
      </c>
      <c r="W12" s="117">
        <f>UPPER(IF($D17="","",VLOOKUP($D17,'[1]m glavni turnir žrebna lista'!$A$7:$R$38,3)))</f>
      </c>
      <c r="X12" s="117">
        <f>PROPER(IF($D17="","",VLOOKUP($D17,'[1]m glavni turnir žrebna lista'!$A$7:$R$38,4)))</f>
      </c>
      <c r="Y12" s="104">
        <f t="shared" si="0"/>
      </c>
      <c r="Z12" s="104">
        <f>IF(Y12="","",IF(AND($Q$63=1,U16=U17),30,IF(AND($Q$63=2,U16=U17),15,IF(AND($Q$63=3,U16=U17),10,""))))</f>
      </c>
      <c r="AA12" s="104">
        <f>IF(Z12="","",IF(AND($Q$63=1,U16=U17,U17=U18),60,IF(AND($Q$63=2,U16=U17,U17=U18),30,IF(AND($Q$63=3,U16=U17,U17=U18),20,""))))</f>
      </c>
      <c r="AB12" s="104">
        <f>IF(AA12="","",IF(AND($Q$63=1,U16=$U$14,U16=U17,U17=U18),120,IF(AND($Q$63=2,U16=$U$14,U16=U17,U17=U18),60,IF(AND($Q$63=3,U16=$U$14,U16=U17,U17=U18),40,""))))</f>
      </c>
      <c r="AC12" s="104">
        <f>IF(AB12="","",IF(AND($Q$63=1,$U$17=$U$16,$U$16=$U$18,$U$18=$U$14,$U$22=$U$14),120,IF(AND($Q$63=2,$U$17=$U$16,$U$16=$U$18,$U$18=$U$14,$U$22=$U$14),60,IF(AND($Q$63=3,$U$17=$U$16,$U$16=$U$18,$U$18=$U$14,$U$22=$U$14),40,""))))</f>
      </c>
      <c r="AD12" s="104">
        <f>IF(AC12="","",IF(AND($Q$63=1,$U$17=$U$16,$U$16=$U$18,$U$18=$U$14,$U$22=$U$14,$U$38=$U$22),120,IF(AND($Q$63=2,$U$17=$U$16,$U$16=$U$18,$U$18=$U$14,$U$22=$U$14,$U$38=$U$22),60,IF(AND($Q$63=3,$U$17=$U$16,$U$16=$U$18,$U$18=$U$14,$U$22=$U$14,$U$38=$U$22),40,""))))</f>
      </c>
      <c r="AE12" s="105">
        <f t="shared" si="1"/>
        <v>0</v>
      </c>
      <c r="AF12" s="41"/>
      <c r="AG12" s="93"/>
      <c r="AH12" s="93"/>
      <c r="AI12" s="93"/>
      <c r="AJ12" s="93"/>
    </row>
    <row r="13" spans="1:36" s="89" customFormat="1" ht="9" customHeight="1">
      <c r="A13" s="94">
        <v>4</v>
      </c>
      <c r="B13" s="106">
        <f>IF($D13="","",VLOOKUP($D13,'[1]m glavni turnir žrebna lista'!$A$7:$R$38,17))</f>
      </c>
      <c r="C13" s="106">
        <f>IF($D13="","",VLOOKUP($D13,'[1]m glavni turnir žrebna lista'!$A$7:$R$38,2))</f>
      </c>
      <c r="D13" s="80"/>
      <c r="E13" s="107" t="s">
        <v>29</v>
      </c>
      <c r="F13" s="107">
        <f>PROPER(IF($D13="","",VLOOKUP($D13,'[1]m glavni turnir žrebna lista'!$A$7:$R$38,4)))</f>
      </c>
      <c r="G13" s="107"/>
      <c r="H13" s="107">
        <f>IF($D13="","",VLOOKUP($D13,'[1]m glavni turnir žrebna lista'!$A$7:$R$38,5))</f>
      </c>
      <c r="I13" s="108">
        <f>IF($D13="","",VLOOKUP($D13,'[1]m glavni turnir žrebna lista'!$A$7:$R$38,14))</f>
      </c>
      <c r="J13" s="109"/>
      <c r="K13" s="83"/>
      <c r="L13" s="82"/>
      <c r="M13" s="119"/>
      <c r="N13" s="115"/>
      <c r="O13" s="116"/>
      <c r="P13" s="86"/>
      <c r="Q13" s="87"/>
      <c r="R13" s="88"/>
      <c r="T13" s="102" t="str">
        <f>'[1]glavni sodniki'!P27</f>
        <v> </v>
      </c>
      <c r="U13" s="35">
        <f>IF($D13="","",VLOOKUP($D13,'[1]m glavni turnir žrebna lista'!$A$7:$R$38,2))</f>
      </c>
      <c r="V13" s="63">
        <v>7</v>
      </c>
      <c r="W13" s="63">
        <f>UPPER(IF($D19="","",VLOOKUP($D19,'[1]m glavni turnir žrebna lista'!$A$7:$R$38,3)))</f>
      </c>
      <c r="X13" s="63">
        <f>PROPER(IF($D19="","",VLOOKUP($D19,'[1]m glavni turnir žrebna lista'!$A$7:$R$38,4)))</f>
      </c>
      <c r="Y13" s="64">
        <f t="shared" si="0"/>
      </c>
      <c r="Z13" s="64">
        <f>IF(Y13="","",IF(AND($Q$63=1,U20=U19),30,IF(AND($Q$63=2,U20=U19),15,IF(AND($Q$63=3,U20=U19),10,""))))</f>
      </c>
      <c r="AA13" s="64">
        <f>IF(Z13="","",IF(AND($Q$63=1,U20=U18,U20=U19),60,IF(AND($Q$63=2,U20=U18,U20=U19),30,IF(AND($Q$63=3,U20=U18,U20=U19),20,""))))</f>
      </c>
      <c r="AB13" s="64">
        <f>IF(AA13="","",IF(AND($Q$63=1,U20=U19,U19=U18,U18=$U$14),120,IF(AND($Q$63=2,U20=U19,U19=U18,U18=$U$14),60,IF(AND($Q$63=3,U20=U19,U19=U18,U18=$U$14),40,""))))</f>
      </c>
      <c r="AC13" s="64">
        <f>IF(AB13="","",IF(AND($Q$63=1,$U$19=$U$20,$U$20=$U$18,$U$18=$U$14,$U$22=$U$14),120,IF(AND($Q$63=2,$U$19=$U$20,$U$20=$U$18,$U$18=$U$14,$U$22=$U$14),60,IF(AND($Q$63=3,$U$19=$U$20,$U$20=$U$18,$U$18=$U$14,$U$22=$U$14),40,""))))</f>
      </c>
      <c r="AD13" s="64">
        <f>IF(AC13="","",IF(AND($Q$63=1,$U$19=$U$20,$U$20=$U$18,$U$18=$U$14,$U$22=$U$14,$U$38=$U$22),120,IF(AND($Q$63=2,$U$19=$U$20,$U$20=$U$18,$U$18=$U$14,$U$22=$U$14,$U$38=$U$22),60,IF(AND($Q$63=3,$U$19=$U$20,$U$20=$U$18,$U$18=$U$14,$U$22=$U$14,$U$38=$U$22),40,""))))</f>
      </c>
      <c r="AE13" s="92">
        <f t="shared" si="1"/>
        <v>0</v>
      </c>
      <c r="AF13" s="41"/>
      <c r="AG13" s="93"/>
      <c r="AH13" s="93"/>
      <c r="AI13" s="93"/>
      <c r="AJ13" s="93"/>
    </row>
    <row r="14" spans="1:36" s="89" customFormat="1" ht="9" customHeight="1">
      <c r="A14" s="94"/>
      <c r="B14" s="95"/>
      <c r="C14" s="95"/>
      <c r="D14" s="111"/>
      <c r="E14" s="82"/>
      <c r="F14" s="82"/>
      <c r="G14" s="121"/>
      <c r="H14" s="122"/>
      <c r="I14" s="112"/>
      <c r="J14" s="82"/>
      <c r="K14" s="83"/>
      <c r="L14" s="98" t="s">
        <v>27</v>
      </c>
      <c r="M14" s="113" t="s">
        <v>31</v>
      </c>
      <c r="N14" s="100" t="str">
        <f>UPPER(IF(OR(M14="a",M14="as"),L10,IF(OR(M14="b",M14="bs"),L18,)))</f>
        <v>KULIĆ</v>
      </c>
      <c r="O14" s="114">
        <f>IF(OR(M14="a",M14="as"),M10,IF(OR(M14="b",M14="bs"),M18,))</f>
        <v>10</v>
      </c>
      <c r="P14" s="86"/>
      <c r="Q14" s="87"/>
      <c r="R14" s="88"/>
      <c r="T14" s="102" t="str">
        <f>'[1]glavni sodniki'!P28</f>
        <v> </v>
      </c>
      <c r="U14" s="35">
        <f>IF(OR(M14="a",M14="as"),$U$10,IF(OR(M14="b",M14="bs"),U18,""))</f>
        <v>7245</v>
      </c>
      <c r="V14" s="63">
        <v>8</v>
      </c>
      <c r="W14" s="117" t="str">
        <f>UPPER(IF($D21="","",VLOOKUP($D21,'[1]m glavni turnir žrebna lista'!$A$7:$R$38,3)))</f>
        <v>KULIĆ</v>
      </c>
      <c r="X14" s="117" t="str">
        <f>PROPER(IF($D21="","",VLOOKUP($D21,'[1]m glavni turnir žrebna lista'!$A$7:$R$38,4)))</f>
        <v>Mark</v>
      </c>
      <c r="Y14" s="104">
        <f t="shared" si="0"/>
        <v>10</v>
      </c>
      <c r="Z14" s="104">
        <f>IF(Y14="","",IF(AND($Q$63=1,U21=U20),30,IF(AND($Q$63=2,U21=U20),15,IF(AND($Q$63=3,U21=U20),10,""))))</f>
        <v>10</v>
      </c>
      <c r="AA14" s="104">
        <f>IF(Z14="","",IF(AND($Q$63=1,U20=U18,U21=U20),60,IF(AND($Q$63=2,U20=U18,U21=U20),30,IF(AND($Q$63=3,U20=U18,U21=U20),20,""))))</f>
        <v>20</v>
      </c>
      <c r="AB14" s="104">
        <f>IF(AA14="","",IF(AND($Q$63=1,U21=U20,U20=U18,U18=$U$14),120,IF(AND($Q$63=2,U21=U20,U20=U18,U18=$U$14),60,IF(AND($Q$63=3,U21=U20,U20=U18,U18=$U$14),40,""))))</f>
        <v>40</v>
      </c>
      <c r="AC14" s="104">
        <f>IF(AB14="","",IF(AND($Q$63=1,$U$21=$U$20,$U$20=$U$18,$U$18=$U$14,$U$22=$U$14),120,IF(AND($Q$63=2,$U$21=$U$20,$U$20=$U$18,$U$18=$U$14,$U$22=$U$14),60,IF(AND($Q$63=3,$U$21=$U$20,$U$20=$U$18,$U$18=$U$14,$U$22=$U$14),40,""))))</f>
        <v>40</v>
      </c>
      <c r="AD14" s="104">
        <f>IF(AC14="","",IF(AND($Q$63=1,$U$21=$U$20,$U$20=$U$18,$U$18=$U$14,$U$22=$U$14,$U$38=$U$22),120,IF(AND($Q$63=2,$U$21=$U$20,$U$20=$U$18,$U$18=$U$14,$U$22=$U$14,$U$38=$U$22),60,IF(AND($Q$63=3,$U$21=$U$20,$U$20=$U$18,$U$18=$U$14,$U$22=$U$14,$U$38=$U$22),40,""))))</f>
        <v>40</v>
      </c>
      <c r="AE14" s="105">
        <f t="shared" si="1"/>
        <v>16</v>
      </c>
      <c r="AF14" s="41"/>
      <c r="AG14" s="93"/>
      <c r="AH14" s="93"/>
      <c r="AI14" s="93"/>
      <c r="AJ14" s="93"/>
    </row>
    <row r="15" spans="1:36" s="89" customFormat="1" ht="9" customHeight="1">
      <c r="A15" s="94">
        <v>5</v>
      </c>
      <c r="B15" s="106" t="s">
        <v>26</v>
      </c>
      <c r="C15" s="106">
        <f>IF($D15="","",VLOOKUP($D15,'[1]m glavni turnir žrebna lista'!$A$7:$R$38,2))</f>
        <v>6828</v>
      </c>
      <c r="D15" s="80">
        <v>11</v>
      </c>
      <c r="E15" s="107" t="str">
        <f>UPPER(IF($D15="","",VLOOKUP($D15,'[1]m glavni turnir žrebna lista'!$A$7:$R$38,3)))</f>
        <v>JUVAN</v>
      </c>
      <c r="F15" s="107" t="str">
        <f>PROPER(IF($D15="","",VLOOKUP($D15,'[1]m glavni turnir žrebna lista'!$A$7:$R$38,4)))</f>
        <v>Mark</v>
      </c>
      <c r="G15" s="107"/>
      <c r="H15" s="107" t="str">
        <f>IF($D15="","",VLOOKUP($D15,'[1]m glavni turnir žrebna lista'!$A$7:$R$38,5))</f>
        <v>ŠPLUS</v>
      </c>
      <c r="I15" s="81">
        <f>IF($D15="","",VLOOKUP($D15,'[1]m glavni turnir žrebna lista'!$A$7:$R$38,14))</f>
        <v>10</v>
      </c>
      <c r="J15" s="82"/>
      <c r="K15" s="83"/>
      <c r="L15" s="82"/>
      <c r="M15" s="119"/>
      <c r="N15" s="109" t="s">
        <v>32</v>
      </c>
      <c r="O15" s="123"/>
      <c r="P15" s="84"/>
      <c r="Q15" s="85"/>
      <c r="R15" s="88"/>
      <c r="T15" s="102" t="str">
        <f>'[1]glavni sodniki'!P29</f>
        <v> </v>
      </c>
      <c r="U15" s="35">
        <f>IF($D15="","",VLOOKUP($D15,'[1]m glavni turnir žrebna lista'!$A$7:$R$38,2))</f>
        <v>6828</v>
      </c>
      <c r="V15" s="63">
        <v>9</v>
      </c>
      <c r="W15" s="63" t="str">
        <f>UPPER(IF($D23="","",VLOOKUP($D23,'[1]m glavni turnir žrebna lista'!$A$7:$R$38,3)))</f>
        <v>HRKAČ</v>
      </c>
      <c r="X15" s="63" t="str">
        <f>PROPER(IF($D23="","",VLOOKUP($D23,'[1]m glavni turnir žrebna lista'!$A$7:$R$38,4)))</f>
        <v>Gašper</v>
      </c>
      <c r="Y15" s="64">
        <f t="shared" si="0"/>
        <v>10</v>
      </c>
      <c r="Z15" s="64">
        <f>IF(Y15="","",IF(AND($Q$63=1,U24=U23),30,IF(AND($Q$63=2,U24=U23),15,IF(AND($Q$63=3,U24=U23),10,""))))</f>
        <v>10</v>
      </c>
      <c r="AA15" s="64">
        <f>IF(Z15="","",IF(AND($Q$63=1,U26=U24,U24=U23),60,IF(AND($Q$63=2,U26=U24,U24=U23),30,IF(AND($Q$63=3,U26=U24,U24=U23),20,""))))</f>
      </c>
      <c r="AB15" s="64">
        <f>IF(AA15="","",IF(AND($Q$63=1,U23=U24,U24=U26,U26=U30),120,IF(AND($Q$63=2,U23=U24,U24=U26,U26=U30),60,IF(AND($Q$63=3,U23=U24,U24=U26,U26=U30),40,""))))</f>
      </c>
      <c r="AC15" s="64">
        <f>IF(AB15="","",IF(AND($Q$63=1,$U$23=$U$24,$U$24=$U$26,$U$26=$U$30,$U$30=$U$22),120,IF(AND($Q$63=2,$U$23=$U$24,$U$24=$U$26,$U$26=$U$30,$U$30=$U$22),60,IF(AND($Q$63=3,$U$23=$U$24,$U$24=$U$26,$U$26=$U$30,$U$30=$U$22),40,""))))</f>
      </c>
      <c r="AD15" s="64">
        <f>IF(AC15="","",IF(AND($Q$63=1,$U$23=$U$24,$U$24=$U$26,$U$26=$U$30,$U$30=$U$22,$U$38=$U$22),120,IF(AND($Q$63=2,$U$23=$U$24,$U$24=$U$26,$U$26=$U$30,$U$30=$U$22,$U$38=$U$22),60,IF(AND($Q$63=3,$U$23=$U$24,$U$24=$U$26,$U$26=$U$30,$U$30=$U$22,$U$38=$U$22),40,""))))</f>
      </c>
      <c r="AE15" s="92">
        <f t="shared" si="1"/>
        <v>2</v>
      </c>
      <c r="AF15" s="41"/>
      <c r="AG15" s="93"/>
      <c r="AH15" s="93"/>
      <c r="AI15" s="93"/>
      <c r="AJ15" s="93"/>
    </row>
    <row r="16" spans="1:36" s="89" customFormat="1" ht="9" customHeight="1" thickBot="1">
      <c r="A16" s="94"/>
      <c r="B16" s="95"/>
      <c r="C16" s="95"/>
      <c r="D16" s="111"/>
      <c r="E16" s="96"/>
      <c r="F16" s="96"/>
      <c r="G16" s="97"/>
      <c r="H16" s="98" t="s">
        <v>27</v>
      </c>
      <c r="I16" s="99" t="s">
        <v>28</v>
      </c>
      <c r="J16" s="107" t="str">
        <f>UPPER(IF(OR(I16="a",I16="as"),E15,IF(OR(I16="b",I16="bs"),E17,)))</f>
        <v>JUVAN</v>
      </c>
      <c r="K16" s="101">
        <f>IF(OR(I16="a",I16="as"),I15,IF(OR(I16="b",I16="bs"),I17,))</f>
        <v>10</v>
      </c>
      <c r="L16" s="82"/>
      <c r="M16" s="119"/>
      <c r="N16" s="84"/>
      <c r="O16" s="123"/>
      <c r="P16" s="84"/>
      <c r="Q16" s="85"/>
      <c r="R16" s="88"/>
      <c r="T16" s="124" t="str">
        <f>'[1]glavni sodniki'!P30</f>
        <v>Brez sodnika</v>
      </c>
      <c r="U16" s="35">
        <f>IF(OR(I16="a",I16="as"),C15,IF(OR(I16="b",I16="bs"),C17,""))</f>
        <v>6828</v>
      </c>
      <c r="V16" s="63">
        <v>10</v>
      </c>
      <c r="W16" s="117">
        <f>UPPER(IF($D25="","",VLOOKUP($D25,'[1]m glavni turnir žrebna lista'!$A$7:$R$38,3)))</f>
      </c>
      <c r="X16" s="117">
        <f>PROPER(IF($D25="","",VLOOKUP($D25,'[1]m glavni turnir žrebna lista'!$A$7:$R$38,4)))</f>
      </c>
      <c r="Y16" s="104">
        <f t="shared" si="0"/>
      </c>
      <c r="Z16" s="104">
        <f>IF(Y16="","",IF(AND($Q$63=1,U25=U24),30,IF(AND($Q$63=2,U25=U24),15,IF(AND($Q$63=3,U25=U24),10,""))))</f>
      </c>
      <c r="AA16" s="104">
        <f>IF(Z16="","",IF(AND($Q$63=1,U26=U25,U25=U24),60,IF(AND($Q$63=2,U26=U25,U25=U24),30,IF(AND($Q$63=3,U26=U25,U25=U24),20,""))))</f>
      </c>
      <c r="AB16" s="104">
        <f>IF(AA16="","",IF(AND($Q$63=1,U24=U25,U25=U26,U26=U30),120,IF(AND($Q$63=2,U24=U25,U25=U26,U26=U30),60,IF(AND($Q$63=3,U24=U25,U25=U26,U26=U30),40,""))))</f>
      </c>
      <c r="AC16" s="104">
        <f>IF(AB16="","",IF(AND($Q$63=1,$U$25=$U$24,$U$24=$U$26,$U$26=$U$30,$U$30=$U$22),120,IF(AND($Q$63=2,$U$25=$U$24,$U$24=$U$26,$U$26=$U$30,$U$30=$U$22),60,IF(AND($Q$63=3,$U$25=$U$24,$U$24=$U$26,$U$26=$U$30,$U$30=$U$22),40,""))))</f>
      </c>
      <c r="AD16" s="104">
        <f>IF(AC16="","",IF(AND($Q$63=1,$U$25=$U$24,$U$24=$U$26,$U$26=$U$30,$U$30=$U$22,$U$38=$U$22),120,IF(AND($Q$63=2,$U$25=$U$24,$U$24=$U$26,$U$26=$U$30,$U$30=$U$22,$U$38=$U$22),60,IF(AND($Q$63=3,$U$25=$U$24,$U$24=$U$26,$U$26=$U$30,$U$30=$U$22,$U$38=$U$22),40,""))))</f>
      </c>
      <c r="AE16" s="105">
        <f t="shared" si="1"/>
        <v>0</v>
      </c>
      <c r="AF16" s="41"/>
      <c r="AG16" s="93"/>
      <c r="AH16" s="93"/>
      <c r="AI16" s="93"/>
      <c r="AJ16" s="93"/>
    </row>
    <row r="17" spans="1:36" s="89" customFormat="1" ht="9" customHeight="1">
      <c r="A17" s="94">
        <v>6</v>
      </c>
      <c r="B17" s="106">
        <f>IF($D17="","",VLOOKUP($D17,'[1]m glavni turnir žrebna lista'!$A$7:$R$38,17))</f>
      </c>
      <c r="C17" s="106">
        <f>IF($D17="","",VLOOKUP($D17,'[1]m glavni turnir žrebna lista'!$A$7:$R$38,2))</f>
      </c>
      <c r="D17" s="80"/>
      <c r="E17" s="107" t="s">
        <v>29</v>
      </c>
      <c r="F17" s="107">
        <f>PROPER(IF($D17="","",VLOOKUP($D17,'[1]m glavni turnir žrebna lista'!$A$7:$R$38,4)))</f>
      </c>
      <c r="G17" s="107"/>
      <c r="H17" s="107">
        <f>IF($D17="","",VLOOKUP($D17,'[1]m glavni turnir žrebna lista'!$A$7:$R$38,5))</f>
      </c>
      <c r="I17" s="108">
        <f>IF($D17="","",VLOOKUP($D17,'[1]m glavni turnir žrebna lista'!$A$7:$R$38,14))</f>
      </c>
      <c r="J17" s="109"/>
      <c r="K17" s="110"/>
      <c r="L17" s="82"/>
      <c r="M17" s="119"/>
      <c r="N17" s="84"/>
      <c r="O17" s="123"/>
      <c r="P17" s="84"/>
      <c r="Q17" s="85"/>
      <c r="R17" s="88"/>
      <c r="U17" s="35">
        <f>IF($D17="","",VLOOKUP($D17,'[1]m glavni turnir žrebna lista'!$A$7:$R$38,2))</f>
      </c>
      <c r="V17" s="63">
        <v>11</v>
      </c>
      <c r="W17" s="63">
        <f>UPPER(IF($D27="","",VLOOKUP($D27,'[1]m glavni turnir žrebna lista'!$A$7:$R$38,3)))</f>
      </c>
      <c r="X17" s="63">
        <f>PROPER(IF($D27="","",VLOOKUP($D27,'[1]m glavni turnir žrebna lista'!$A$7:$R$38,4)))</f>
      </c>
      <c r="Y17" s="64">
        <f t="shared" si="0"/>
      </c>
      <c r="Z17" s="64">
        <f>IF(Y17="","",IF(AND($Q$63=1,U28=U27),30,IF(AND($Q$63=2,U28=U27),15,IF(AND($Q$63=3,U28=U27),10,""))))</f>
      </c>
      <c r="AA17" s="64">
        <f>IF(Z17="","",IF(AND($Q$63=1,U27=U26,U26=U28),60,IF(AND($Q$63=2,U27=U26,U26=U28),30,IF(AND($Q$63=3,U27=U26,U26=U28),20,""))))</f>
      </c>
      <c r="AB17" s="64">
        <f>IF(AA17="","",IF(AND($Q$63=1,U28=U27,U26=U27,U28=U30),120,IF(AND($Q$63=2,U28=U27,U26=U27,U28=U30),60,IF(AND($Q$63=3,U28=U26,U26=U27,U28=U30),40,""))))</f>
      </c>
      <c r="AC17" s="64">
        <f>IF(AB17="","",IF(AND($Q$63=1,$U$27=$U$28,$U$28=$U$26,$U$26=$U$30,$U$30=$U$22),120,IF(AND($Q$63=2,$U$27=$U$28,$U$28=$U$26,$U$26=$U$30,$U$30=$U$22),60,IF(AND($Q$63=3,$U$27=$U$28,$U$28=$U$26,$U$26=$U$30,$U$30=$U$22),40,""))))</f>
      </c>
      <c r="AD17" s="64">
        <f>IF(AC17="","",IF(AND($Q$63=1,$U$27=$U$28,$U$28=$U$26,$U$26=$U$30,$U$30=$U$22,$U$38=$U$22),120,IF(AND($Q$63=2,$U$27=$U$28,$U$28=$U$26,$U$26=$U$30,$U$30=$U$22,$U$38=$U$22),60,IF(AND($Q$63=3,$U$27=$U$28,$U$28=$U$26,$U$26=$U$30,$U$30=$U$22,$U$38=$U$22),40,""))))</f>
      </c>
      <c r="AE17" s="92">
        <f t="shared" si="1"/>
        <v>0</v>
      </c>
      <c r="AF17" s="41"/>
      <c r="AG17" s="93"/>
      <c r="AH17" s="93"/>
      <c r="AI17" s="93"/>
      <c r="AJ17" s="93"/>
    </row>
    <row r="18" spans="1:36" s="89" customFormat="1" ht="9" customHeight="1">
      <c r="A18" s="94"/>
      <c r="B18" s="95"/>
      <c r="C18" s="95"/>
      <c r="D18" s="111"/>
      <c r="E18" s="96"/>
      <c r="F18" s="96"/>
      <c r="G18" s="97"/>
      <c r="H18" s="82"/>
      <c r="I18" s="112"/>
      <c r="J18" s="98" t="s">
        <v>27</v>
      </c>
      <c r="K18" s="113" t="s">
        <v>33</v>
      </c>
      <c r="L18" s="100" t="str">
        <f>UPPER(IF(OR(K18="a",K18="as"),J16,IF(OR(K18="b",K18="bs"),J20,)))</f>
        <v>KULIĆ</v>
      </c>
      <c r="M18" s="125">
        <f>IF(OR(K18="a",K18="as"),K16,IF(OR(K18="b",K18="bs"),K20,))</f>
        <v>10</v>
      </c>
      <c r="N18" s="84"/>
      <c r="O18" s="123"/>
      <c r="P18" s="84"/>
      <c r="Q18" s="85"/>
      <c r="R18" s="88"/>
      <c r="U18" s="35">
        <f>IF(OR(K18="a",K18="as"),U16,IF(OR(K18="b",K18="bs"),U20,""))</f>
        <v>7245</v>
      </c>
      <c r="V18" s="63">
        <v>12</v>
      </c>
      <c r="W18" s="117" t="str">
        <f>UPPER(IF($D29="","",VLOOKUP($D29,'[1]m glavni turnir žrebna lista'!$A$7:$R$38,3)))</f>
        <v>DIMITRIJEVIČ</v>
      </c>
      <c r="X18" s="117" t="str">
        <f>PROPER(IF($D29="","",VLOOKUP($D29,'[1]m glavni turnir žrebna lista'!$A$7:$R$38,4)))</f>
        <v>Nik</v>
      </c>
      <c r="Y18" s="104">
        <f t="shared" si="0"/>
        <v>10</v>
      </c>
      <c r="Z18" s="104">
        <f>IF(Y18="","",IF(AND($Q$63=1,U29=U28),30,IF(AND($Q$63=2,U29=U28),15,IF(AND($Q$63=3,U29=U28),10,""))))</f>
        <v>10</v>
      </c>
      <c r="AA18" s="104">
        <f>IF(Z18="","",IF(AND($Q$63=1,U28=U26,U28=U29),60,IF(AND($Q$63=2,U28=U26,U26=U29),30,IF(AND($Q$63=3,U28=U26,U26=U29),20,""))))</f>
        <v>20</v>
      </c>
      <c r="AB18" s="104">
        <f>IF(AA18="","",IF(AND($Q$63=1,U29=U28,U26=U28,U29=U30),120,IF(AND($Q$63=2,U29=U28,U26=U28,U29=U30),60,IF(AND($Q$63=3,U29=U26,U26=U28,U29=U30),40,""))))</f>
      </c>
      <c r="AC18" s="104">
        <f>IF(AB18="","",IF(AND($Q$63=1,$U$29=$U$28,$U$28=$U$26,$U$26=$U$30,$U$30=$U$22),120,IF(AND($Q$63=2,$U$29=$U$28,$U$28=$U$26,$U$26=$U$30,$U$30=$U$22),60,IF(AND($Q$63=3,$U$29=$U$28,$U$28=$U$26,$U$26=$U$30,$U$30=$U$22),40,""))))</f>
      </c>
      <c r="AD18" s="104">
        <f>IF(AC18="","",IF(AND($Q$63=1,$U$29=$U$28,$U$28=$U$26,$U$26=$U$30,$U$30=$U$22,$U$38=$U$22),120,IF(AND($Q$63=2,$U$29=$U$28,$U$28=$U$26,$U$26=$U$30,$U$30=$U$22,$U$38=$U$22),60,IF(AND($Q$63=3,$U$29=$U$28,$U$28=$U$26,$U$26=$U$30,$U$30=$U$22,$U$38=$U$22),40,""))))</f>
      </c>
      <c r="AE18" s="105">
        <f t="shared" si="1"/>
        <v>4</v>
      </c>
      <c r="AF18" s="41"/>
      <c r="AG18" s="93"/>
      <c r="AH18" s="93"/>
      <c r="AI18" s="93"/>
      <c r="AJ18" s="93"/>
    </row>
    <row r="19" spans="1:36" s="89" customFormat="1" ht="9" customHeight="1">
      <c r="A19" s="94">
        <v>7</v>
      </c>
      <c r="B19" s="106">
        <f>IF($D19="","",VLOOKUP($D19,'[1]m glavni turnir žrebna lista'!$A$7:$R$38,17))</f>
      </c>
      <c r="C19" s="106">
        <f>IF($D19="","",VLOOKUP($D19,'[1]m glavni turnir žrebna lista'!$A$7:$R$38,2))</f>
      </c>
      <c r="D19" s="80"/>
      <c r="E19" s="107" t="s">
        <v>29</v>
      </c>
      <c r="F19" s="107">
        <f>PROPER(IF($D19="","",VLOOKUP($D19,'[1]m glavni turnir žrebna lista'!$A$7:$R$38,4)))</f>
      </c>
      <c r="G19" s="107"/>
      <c r="H19" s="107">
        <f>IF($D19="","",VLOOKUP($D19,'[1]m glavni turnir žrebna lista'!$A$7:$R$38,5))</f>
      </c>
      <c r="I19" s="81">
        <f>IF($D19="","",VLOOKUP($D19,'[1]m glavni turnir žrebna lista'!$A$7:$R$38,14))</f>
      </c>
      <c r="J19" s="82"/>
      <c r="K19" s="118"/>
      <c r="L19" s="109" t="s">
        <v>34</v>
      </c>
      <c r="M19" s="116"/>
      <c r="N19" s="84"/>
      <c r="O19" s="123"/>
      <c r="P19" s="84"/>
      <c r="Q19" s="85"/>
      <c r="R19" s="88"/>
      <c r="U19" s="35">
        <f>IF($D19="","",VLOOKUP($D19,'[1]m glavni turnir žrebna lista'!$A$7:$R$38,2))</f>
      </c>
      <c r="V19" s="63">
        <v>13</v>
      </c>
      <c r="W19" s="63" t="str">
        <f>UPPER(IF($D31="","",VLOOKUP($D31,'[1]m glavni turnir žrebna lista'!$A$7:$R$38,3)))</f>
        <v>REBERČNIK</v>
      </c>
      <c r="X19" s="63" t="str">
        <f>PROPER(IF($D31="","",VLOOKUP($D31,'[1]m glavni turnir žrebna lista'!$A$7:$R$38,4)))</f>
        <v>Domen</v>
      </c>
      <c r="Y19" s="64">
        <f t="shared" si="0"/>
        <v>10</v>
      </c>
      <c r="Z19" s="64">
        <f>IF(Y19="","",IF(AND($Q$63=1,U32=U31),30,IF(AND($Q$63=2,U32=U31),15,IF(AND($Q$63=3,U32=U31),10,""))))</f>
        <v>10</v>
      </c>
      <c r="AA19" s="64">
        <f>IF(Z19="","",IF(AND($Q$63=1,U34=U32,U32=U31),60,IF(AND($Q$63=2,U34=U32,U32=U31),30,IF(AND($Q$63=3,U34=U32,U32=U31),20,""))))</f>
        <v>20</v>
      </c>
      <c r="AB19" s="64">
        <f>IF(AA19="","",IF(AND($Q$63=1,U31=U32,U32=U34,U30=U34),120,IF(AND($Q$63=2,U31=U32,U32=U34,U30=U34),60,IF(AND($Q$63=3,U31=U32,U32=U34,U30=U34),40,""))))</f>
        <v>40</v>
      </c>
      <c r="AC19" s="64">
        <f>IF(AB19="","",IF(AND($Q$63=1,$U$31=$U$32,$U$32=$U$34,$U$34=$U$30,$U$30=$U$22),120,IF(AND($Q$63=2,$U$31=$U$32,$U$32=$U$34,$U$34=$U$30,$U$30=$U$22),60,IF(AND($Q$63=3,$U$31=$U$32,$U$32=$U$34,$U$34=$U$30,$U$30=$U$22),40,""))))</f>
      </c>
      <c r="AD19" s="64">
        <f>IF(AC19="","",IF(AND($Q$63=1,$U$31=$U$32,$U$32=$U$34,$U$34=$U$30,$U$30=$U$22,$U$38=$U$22),120,IF(AND($Q$63=2,$U$31=$U$32,$U$32=$U$34,$U$34=$U$30,$U$30=$U$22,$U$38=$U$22),60,IF(AND($Q$63=3,$U$31=$U$32,$U$32=$U$34,$U$34=$U$30,$U$30=$U$22,$U$38=$U$22),40,""))))</f>
      </c>
      <c r="AE19" s="92">
        <f t="shared" si="1"/>
        <v>8</v>
      </c>
      <c r="AF19" s="41"/>
      <c r="AG19" s="93"/>
      <c r="AH19" s="93"/>
      <c r="AI19" s="93"/>
      <c r="AJ19" s="93"/>
    </row>
    <row r="20" spans="1:36" s="89" customFormat="1" ht="9" customHeight="1">
      <c r="A20" s="94"/>
      <c r="B20" s="95"/>
      <c r="C20" s="95"/>
      <c r="D20" s="95"/>
      <c r="E20" s="96"/>
      <c r="F20" s="96"/>
      <c r="G20" s="97"/>
      <c r="H20" s="98" t="s">
        <v>27</v>
      </c>
      <c r="I20" s="99" t="s">
        <v>33</v>
      </c>
      <c r="J20" s="100" t="str">
        <f>UPPER(IF(OR(I20="a",I20="as"),E19,IF(OR(I20="b",I20="bs"),E21,)))</f>
        <v>KULIĆ</v>
      </c>
      <c r="K20" s="126">
        <f>IF(OR(I20="a",I20="as"),I19,IF(OR(I20="b",I20="bs"),I21,))</f>
        <v>10</v>
      </c>
      <c r="L20" s="82"/>
      <c r="M20" s="116"/>
      <c r="N20" s="84"/>
      <c r="O20" s="123"/>
      <c r="P20" s="84"/>
      <c r="Q20" s="85"/>
      <c r="R20" s="88"/>
      <c r="U20" s="35">
        <f>IF(OR(I20="a",I20="as"),C19,IF(OR(I20="b",I20="bs"),C21,""))</f>
        <v>7245</v>
      </c>
      <c r="V20" s="63">
        <v>14</v>
      </c>
      <c r="W20" s="117" t="str">
        <f>UPPER(IF($D33="","",VLOOKUP($D33,'[1]m glavni turnir žrebna lista'!$A$7:$R$38,3)))</f>
        <v>VAJD</v>
      </c>
      <c r="X20" s="117" t="str">
        <f>PROPER(IF($D33="","",VLOOKUP($D33,'[1]m glavni turnir žrebna lista'!$A$7:$R$38,4)))</f>
        <v>Mark David</v>
      </c>
      <c r="Y20" s="104">
        <f t="shared" si="0"/>
        <v>10</v>
      </c>
      <c r="Z20" s="104">
        <f>IF(Y20="","",IF(AND($Q$63=1,U33=U32),30,IF(AND($Q$63=2,U33=U32),15,IF(AND($Q$63=3,U33=U32),10,""))))</f>
      </c>
      <c r="AA20" s="104">
        <f>IF(Z20="","",IF(AND($Q$63=1,U34=U33,U33=U32),60,IF(AND($Q$63=2,U34=U33,U33=U32),30,IF(AND($Q$63=3,U34=U33,U33=U32),20,""))))</f>
      </c>
      <c r="AB20" s="104">
        <f>IF(AA20="","",IF(AND($Q$63=1,U32=U33,U33=U30,U30=U34),120,IF(AND($Q$63=2,U32=U33,U33=U30,U30=U34),60,IF(AND($Q$63=3,U32=U33,U33=U30,U30=U34),40,""))))</f>
      </c>
      <c r="AC20" s="104">
        <f>IF(AB20="","",IF(AND($Q$63=1,$U$33=$U$32,$U$32=$U$34,$U$34=$U$30,$U$30=$U$22),120,IF(AND($Q$63=2,$U$33=$U$32,$U$32=$U$34,$U$34=$U$30,$U$30=$U$22),60,IF(AND($Q$63=3,$U$33=$U$32,$U$32=$U$34,$U$34=$U$30,$U$30=$U$22),40,""))))</f>
      </c>
      <c r="AD20" s="104">
        <f>IF(AC20="","",IF(AND($Q$63=1,$U$33=$U$32,$U$32=$U$34,$U$34=$U$30,$U$30=$U$22,$U$38=$U$22),120,IF(AND($Q$63=2,$U$33=$U$32,$U$32=$U$34,$U$34=$U$30,$U$30=$U$22,$U$38=$U$22),60,IF(AND($Q$63=3,$U$33=$U$32,$U$32=$U$34,$U$34=$U$30,$U$30=$U$22,$U$38=$U$22),40,""))))</f>
      </c>
      <c r="AE20" s="105">
        <f t="shared" si="1"/>
        <v>1</v>
      </c>
      <c r="AF20" s="41"/>
      <c r="AG20" s="93"/>
      <c r="AH20" s="93"/>
      <c r="AI20" s="93"/>
      <c r="AJ20" s="93"/>
    </row>
    <row r="21" spans="1:36" s="89" customFormat="1" ht="9" customHeight="1">
      <c r="A21" s="78">
        <v>8</v>
      </c>
      <c r="B21" s="79" t="s">
        <v>26</v>
      </c>
      <c r="C21" s="79">
        <f>IF($D21="","",VLOOKUP($D21,'[1]m glavni turnir žrebna lista'!$A$7:$R$38,2))</f>
        <v>7245</v>
      </c>
      <c r="D21" s="80">
        <v>5</v>
      </c>
      <c r="E21" s="79" t="str">
        <f>UPPER(IF($D21="","",VLOOKUP($D21,'[1]m glavni turnir žrebna lista'!$A$7:$R$38,3)))</f>
        <v>KULIĆ</v>
      </c>
      <c r="F21" s="79" t="str">
        <f>PROPER(IF($D21="","",VLOOKUP($D21,'[1]m glavni turnir žrebna lista'!$A$7:$R$38,4)))</f>
        <v>Mark</v>
      </c>
      <c r="G21" s="79"/>
      <c r="H21" s="79" t="str">
        <f>IF($D21="","",VLOOKUP($D21,'[1]m glavni turnir žrebna lista'!$A$7:$R$38,5))</f>
        <v>GROSU</v>
      </c>
      <c r="I21" s="108">
        <f>IF($D21="","",VLOOKUP($D21,'[1]m glavni turnir žrebna lista'!$A$7:$R$38,14))</f>
        <v>10</v>
      </c>
      <c r="J21" s="109"/>
      <c r="K21" s="83"/>
      <c r="L21" s="82"/>
      <c r="M21" s="116"/>
      <c r="N21" s="84"/>
      <c r="O21" s="123"/>
      <c r="P21" s="84"/>
      <c r="Q21" s="85"/>
      <c r="R21" s="88"/>
      <c r="U21" s="35">
        <f>IF($D21="","",VLOOKUP($D21,'[1]m glavni turnir žrebna lista'!$A$7:$R$38,2))</f>
        <v>7245</v>
      </c>
      <c r="V21" s="63">
        <v>15</v>
      </c>
      <c r="W21" s="63">
        <f>UPPER(IF($D35="","",VLOOKUP($D35,'[1]m glavni turnir žrebna lista'!$A$7:$R$38,3)))</f>
      </c>
      <c r="X21" s="63">
        <f>PROPER(IF($D35="","",VLOOKUP($D35,'[1]m glavni turnir žrebna lista'!$A$7:$R$38,4)))</f>
      </c>
      <c r="Y21" s="64">
        <f t="shared" si="0"/>
      </c>
      <c r="Z21" s="64">
        <f>IF(Y21="","",IF(AND($Q$63=1,U36=U35),30,IF(AND($Q$63=2,U36=U35),15,IF(AND($Q$63=3,U36=U35),10,""))))</f>
      </c>
      <c r="AA21" s="64">
        <f>IF(Z21="","",IF(AND($Q$63=1,U35=U34,U34=U36),60,IF(AND($Q$63=2,U35=U34,U34=U36),30,IF(AND($Q$63=3,U35=U34,U34=U36),20,""))))</f>
      </c>
      <c r="AB21" s="64">
        <f>IF(AA21="","",IF(AND($Q$63=1,U30=U34,U34=U35,U35=U36),120,IF(AND($Q$63=2,U30=U34,U34=U35,U35=U36),60,IF(AND($Q$63=3,U30=U34,U34=U35,U35=U36),40,""))))</f>
      </c>
      <c r="AC21" s="64">
        <f>IF(AB21="","",IF(AND($Q$63=1,$U$35=$U$36,$U$36=$U$34,$U$34=$U$30,$U$30=$U$22),120,IF(AND($Q$63=2,$U$35=$U$36,$U$36=$U$34,$U$34=$U$30,$U$30=$U$22),60,IF(AND($Q$63=3,$U$35=$U$36,$U$36=$U$34,$U$34=$U$30,$U$30=$U$22),40,""))))</f>
      </c>
      <c r="AD21" s="64">
        <f>IF(AC21="","",IF(AND($Q$63=1,$U$35=$U$36,$U$36=$U$34,$U$34=$U$30,$U$30=$U$22,$U$38=$U$22),120,IF(AND($Q$63=2,$U$35=$U$36,$U$36=$U$34,$U$34=$U$30,$U$30=$U$22,$U$38=$U$22),60,IF(AND($Q$63=3,$U$35=$U$36,$U$36=$U$34,$U$34=$U$30,$U$30=$U$22,$U$38=$U$22),40,""))))</f>
      </c>
      <c r="AE21" s="92">
        <f t="shared" si="1"/>
        <v>0</v>
      </c>
      <c r="AF21" s="41"/>
      <c r="AG21" s="93"/>
      <c r="AH21" s="93"/>
      <c r="AI21" s="93"/>
      <c r="AJ21" s="93"/>
    </row>
    <row r="22" spans="1:36" s="89" customFormat="1" ht="9" customHeight="1">
      <c r="A22" s="94"/>
      <c r="B22" s="95"/>
      <c r="C22" s="95"/>
      <c r="D22" s="95"/>
      <c r="E22" s="122"/>
      <c r="F22" s="122"/>
      <c r="G22" s="127"/>
      <c r="H22" s="122"/>
      <c r="I22" s="112"/>
      <c r="J22" s="82"/>
      <c r="K22" s="83"/>
      <c r="L22" s="82"/>
      <c r="M22" s="116"/>
      <c r="N22" s="98" t="s">
        <v>27</v>
      </c>
      <c r="O22" s="113" t="s">
        <v>35</v>
      </c>
      <c r="P22" s="100" t="str">
        <f>UPPER(IF(OR(O22="a",O22="as"),N14,IF(OR(O22="b",O22="bs"),N30,)))</f>
        <v>KULIĆ</v>
      </c>
      <c r="Q22" s="128">
        <f>IF(OR(O22="a",O22="as"),O14,IF(OR(O22="b",O22="bs"),O30,))</f>
        <v>10</v>
      </c>
      <c r="R22" s="88"/>
      <c r="U22" s="35">
        <f>IF(OR(O22="a",O22="as"),$U$14,IF(OR(O22="b",O22="bs"),U30,""))</f>
        <v>7245</v>
      </c>
      <c r="V22" s="63">
        <v>16</v>
      </c>
      <c r="W22" s="117" t="str">
        <f>UPPER(IF($D37="","",VLOOKUP($D37,'[1]m glavni turnir žrebna lista'!$A$7:$R$38,3)))</f>
        <v>POTISK</v>
      </c>
      <c r="X22" s="117" t="str">
        <f>PROPER(IF($D37="","",VLOOKUP($D37,'[1]m glavni turnir žrebna lista'!$A$7:$R$38,4)))</f>
        <v>Gregor</v>
      </c>
      <c r="Y22" s="104">
        <f t="shared" si="0"/>
        <v>10</v>
      </c>
      <c r="Z22" s="104">
        <f>IF(Y22="","",IF(AND($Q$63=1,U37=U36),30,IF(AND($Q$63=2,U37=U36),15,IF(AND($Q$63=3,U37=U36),10,""))))</f>
        <v>10</v>
      </c>
      <c r="AA22" s="104">
        <f>IF(Z22="","",IF(AND($Q$63=1,U36=U34,U34=U37),60,IF(AND($Q$63=2,U36=U34,U34=U37),30,IF(AND($Q$63=3,U36=U34,U34=U37),20,""))))</f>
      </c>
      <c r="AB22" s="104">
        <f>IF(AA22="","",IF(AND($Q$63=1,U30=U34,U34=U36,U36=U37),120,IF(AND($Q$63=2,U30=U34,U34=U36,U36=U37),60,IF(AND($Q$63=3,U30=U34,U34=U36,U36=U37),40,""))))</f>
      </c>
      <c r="AC22" s="104">
        <f>IF(AB22="","",IF(AND($Q$63=1,$U$37=$U$36,$U$36=$U$34,$U$34=$U$30,$U$30=$U$22),120,IF(AND($Q$63=2,$U$37=$U$36,$U$36=$U$34,$U$34=$U$30,$U$30=$U$22),60,IF(AND($Q$63=3,$U$37=$U$36,$U$36=$U$34,$U$34=$U$30,$U$30=$U$22),40,""))))</f>
      </c>
      <c r="AD22" s="104">
        <f>IF(AC22="","",IF(AND($Q$63=1,$U$37=$U$36,$U$36=$U$34,$U$34=$U$30,$U$30=$U$22,$U$38=$U$22),120,IF(AND($Q$63=2,$U$37=$U$36,$U$36=$U$34,$U$34=$U$30,$U$30=$U$22,$U$38=$U$22),60,IF(AND($Q$63=3,$U$37=$U$36,$U$36=$U$34,$U$34=$U$30,$U$30=$U$22,$U$38=$U$22),40,""))))</f>
      </c>
      <c r="AE22" s="105">
        <f t="shared" si="1"/>
        <v>2</v>
      </c>
      <c r="AF22" s="41"/>
      <c r="AG22" s="93"/>
      <c r="AH22" s="93"/>
      <c r="AI22" s="93"/>
      <c r="AJ22" s="93"/>
    </row>
    <row r="23" spans="1:36" s="89" customFormat="1" ht="9" customHeight="1">
      <c r="A23" s="78">
        <v>9</v>
      </c>
      <c r="B23" s="79" t="s">
        <v>26</v>
      </c>
      <c r="C23" s="79">
        <f>IF($D23="","",VLOOKUP($D23,'[1]m glavni turnir žrebna lista'!$A$7:$R$38,2))</f>
        <v>7411</v>
      </c>
      <c r="D23" s="80">
        <v>3</v>
      </c>
      <c r="E23" s="79" t="str">
        <f>UPPER(IF($D23="","",VLOOKUP($D23,'[1]m glavni turnir žrebna lista'!$A$7:$R$38,3)))</f>
        <v>HRKAČ</v>
      </c>
      <c r="F23" s="79" t="str">
        <f>PROPER(IF($D23="","",VLOOKUP($D23,'[1]m glavni turnir žrebna lista'!$A$7:$R$38,4)))</f>
        <v>Gašper</v>
      </c>
      <c r="G23" s="79"/>
      <c r="H23" s="79" t="str">
        <f>IF($D23="","",VLOOKUP($D23,'[1]m glavni turnir žrebna lista'!$A$7:$R$38,5))</f>
        <v>TR-KR</v>
      </c>
      <c r="I23" s="81">
        <f>IF($D23="","",VLOOKUP($D23,'[1]m glavni turnir žrebna lista'!$A$7:$R$38,14))</f>
        <v>10</v>
      </c>
      <c r="J23" s="82"/>
      <c r="K23" s="83"/>
      <c r="L23" s="82"/>
      <c r="M23" s="116"/>
      <c r="N23" s="84"/>
      <c r="O23" s="123"/>
      <c r="P23" s="109" t="s">
        <v>36</v>
      </c>
      <c r="Q23" s="123"/>
      <c r="R23" s="88"/>
      <c r="U23" s="35">
        <f>IF($D23="","",VLOOKUP($D23,'[1]m glavni turnir žrebna lista'!$A$7:$R$38,2))</f>
        <v>7411</v>
      </c>
      <c r="V23" s="63">
        <v>17</v>
      </c>
      <c r="W23" s="63" t="str">
        <f>UPPER(IF($D39="","",VLOOKUP($D39,'[1]m glavni turnir žrebna lista'!$A$7:$R$38,3)))</f>
        <v>RUTAR</v>
      </c>
      <c r="X23" s="63" t="str">
        <f>PROPER(IF($D39="","",VLOOKUP($D39,'[1]m glavni turnir žrebna lista'!$A$7:$R$38,4)))</f>
        <v>Matic</v>
      </c>
      <c r="Y23" s="64">
        <f t="shared" si="0"/>
        <v>10</v>
      </c>
      <c r="Z23" s="64">
        <f>IF(Y23="","",IF(AND($Q$63=1,U40=U39),30,IF(AND($Q$63=2,U40=U39),15,IF(AND($Q$63=3,U40=U39),10,""))))</f>
        <v>10</v>
      </c>
      <c r="AA23" s="64">
        <f>IF(Z23="","",IF(AND($Q$63=1,U39=U40,U40=U42),60,IF(AND($Q$63=2,U39=U40,U40=U42),30,IF(AND($Q$63=3,U39=U40,U40=U42),20,""))))</f>
      </c>
      <c r="AB23" s="64">
        <f>IF(AA23="","",IF(AND($Q$63=1,U46=U42,U42=U40,U40=U39),120,IF(AND($Q$63=2,U46=U42,U42=U40,U40=U39),60,IF(AND($Q$63=3,U46=U42,U42=U40,U40=U39),40,""))))</f>
      </c>
      <c r="AC23" s="64">
        <f>IF(AB23="","",IF(AND($Q$63=1,$U$39=$U$40,$U$40=$U$42,$U$42=$U$46,$U$46=$U$54),120,IF(AND($Q$63=2,$U$39=$U$40,$U$40=$U$42,$U$42=$U$46,$U$46=$U$54),60,IF(AND($Q$63=3,$U$39=$U$40,$U$40=$U$42,$U$42=$U$46,$U$46=$U$54),40,""))))</f>
      </c>
      <c r="AD23" s="64">
        <f>IF(AC23="","",IF(AND($Q$63=1,$U$39=$U$40,$U$40=$U$42,$U$42=$U$46,$U$46=$U$54,$U$38=$U$54),120,IF(AND($Q$63=2,$U$39=$U$40,$U$40=$U$42,$U$42=$U$46,$U$46=$U$54,$U$38=$U$54),60,IF(AND($Q$63=3,$U$39=$U$40,$U$40=$U$42,$U$42=$U$46,$U$46=$U$54,$U$38=$U$54),40,""))))</f>
      </c>
      <c r="AE23" s="92">
        <f t="shared" si="1"/>
        <v>2</v>
      </c>
      <c r="AF23" s="41"/>
      <c r="AG23" s="93"/>
      <c r="AH23" s="93"/>
      <c r="AI23" s="93"/>
      <c r="AJ23" s="93"/>
    </row>
    <row r="24" spans="1:36" s="89" customFormat="1" ht="9" customHeight="1">
      <c r="A24" s="94"/>
      <c r="B24" s="95"/>
      <c r="C24" s="95"/>
      <c r="D24" s="95"/>
      <c r="E24" s="96"/>
      <c r="F24" s="96"/>
      <c r="G24" s="97"/>
      <c r="H24" s="98" t="s">
        <v>27</v>
      </c>
      <c r="I24" s="99" t="s">
        <v>28</v>
      </c>
      <c r="J24" s="100" t="str">
        <f>UPPER(IF(OR(I24="a",I24="as"),E23,IF(OR(I24="b",I24="bs"),E25,)))</f>
        <v>HRKAČ</v>
      </c>
      <c r="K24" s="101">
        <f>IF(OR(I24="a",I24="as"),I23,IF(OR(I24="b",I24="bs"),I25,))</f>
        <v>10</v>
      </c>
      <c r="L24" s="82"/>
      <c r="M24" s="116"/>
      <c r="N24" s="84"/>
      <c r="O24" s="123"/>
      <c r="P24" s="84"/>
      <c r="Q24" s="123"/>
      <c r="R24" s="88"/>
      <c r="U24" s="35">
        <f>IF(OR(I24="a",I24="as"),C23,IF(OR(I24="b",I24="bs"),C25,""))</f>
        <v>7411</v>
      </c>
      <c r="V24" s="63">
        <v>18</v>
      </c>
      <c r="W24" s="117">
        <f>UPPER(IF($D41="","",VLOOKUP($D41,'[1]m glavni turnir žrebna lista'!$A$7:$R$38,3)))</f>
      </c>
      <c r="X24" s="117">
        <f>PROPER(IF($D41="","",VLOOKUP($D41,'[1]m glavni turnir žrebna lista'!$A$7:$R$38,4)))</f>
      </c>
      <c r="Y24" s="104">
        <f t="shared" si="0"/>
      </c>
      <c r="Z24" s="104">
        <f>IF(Y24="","",IF(AND($Q$63=1,U41=U40),30,IF(AND($Q$63=2,U41=U40),15,IF(AND($Q$63=3,U41=U40),10,""))))</f>
      </c>
      <c r="AA24" s="104">
        <f>IF(Z24="","",IF(AND($Q$63=1,U40=U41,U41=U42),60,IF(AND($Q$63=2,U40=U41,U41=U42),30,IF(AND($Q$63=3,U40=U41,U41=U42),20,""))))</f>
      </c>
      <c r="AB24" s="104">
        <f>IF(AA24="","",IF(AND($Q$63=1,U46=U42,U42=U40,U40=U41),120,IF(AND($Q$63=2,U46=U42,U42=U40,U40=U41),60,IF(AND($Q$63=3,U46=U42,U42=U40,U41=U40),40,""))))</f>
      </c>
      <c r="AC24" s="104">
        <f>IF(AB24="","",IF(AND($Q$63=1,$U$41=$U$40,$U$40=$U$42,$U$42=$U$46,$U$46=$U$54),120,IF(AND($Q$63=2,$U$41=$U$40,$U$40=$U$42,$U$42=$U$46,$U$46=$U$54),60,IF(AND($Q$63=3,$U$41=$U$40,$U$40=$U$42,$U$42=$U$46,$U$46=$U$54),40,""))))</f>
      </c>
      <c r="AD24" s="104">
        <f>IF(AC24="","",IF(AND($Q$63=1,$U$41=$U$40,$U$40=$U$42,$U$42=$U$46,$U$46=$U$54,$U$38=$U$54),120,IF(AND($Q$63=2,$U$41=$U$40,$U$40=$U$42,$U$42=$U$46,$U$46=$U$54,$U$38=$U$54),60,IF(AND($Q$63=3,$U$41=$U$40,$U$40=$U$42,$U$42=$U$46,$U$46=$U$54,$U$38=$U$54),40,""))))</f>
      </c>
      <c r="AE24" s="105">
        <f t="shared" si="1"/>
        <v>0</v>
      </c>
      <c r="AF24" s="41"/>
      <c r="AG24" s="93"/>
      <c r="AH24" s="93"/>
      <c r="AI24" s="93"/>
      <c r="AJ24" s="93"/>
    </row>
    <row r="25" spans="1:36" s="89" customFormat="1" ht="9" customHeight="1">
      <c r="A25" s="94">
        <v>10</v>
      </c>
      <c r="B25" s="106">
        <f>IF($D25="","",VLOOKUP($D25,'[1]m glavni turnir žrebna lista'!$A$7:$R$38,17))</f>
      </c>
      <c r="C25" s="106">
        <f>IF($D25="","",VLOOKUP($D25,'[1]m glavni turnir žrebna lista'!$A$7:$R$38,2))</f>
      </c>
      <c r="D25" s="80"/>
      <c r="E25" s="107" t="s">
        <v>29</v>
      </c>
      <c r="F25" s="107">
        <f>PROPER(IF($D25="","",VLOOKUP($D25,'[1]m glavni turnir žrebna lista'!$A$7:$R$38,4)))</f>
      </c>
      <c r="G25" s="107"/>
      <c r="H25" s="107">
        <f>IF($D25="","",VLOOKUP($D25,'[1]m glavni turnir žrebna lista'!$A$7:$R$38,5))</f>
      </c>
      <c r="I25" s="108">
        <f>IF($D25="","",VLOOKUP($D25,'[1]m glavni turnir žrebna lista'!$A$7:$R$38,14))</f>
      </c>
      <c r="J25" s="109"/>
      <c r="K25" s="110"/>
      <c r="L25" s="82"/>
      <c r="M25" s="116"/>
      <c r="N25" s="84"/>
      <c r="O25" s="123"/>
      <c r="P25" s="84"/>
      <c r="Q25" s="123"/>
      <c r="R25" s="88"/>
      <c r="U25" s="35">
        <f>IF($D25="","",VLOOKUP($D25,'[1]m glavni turnir žrebna lista'!$A$7:$R$38,2))</f>
      </c>
      <c r="V25" s="63">
        <v>19</v>
      </c>
      <c r="W25" s="63" t="str">
        <f>UPPER(IF($D43="","",VLOOKUP($D43,'[1]m glavni turnir žrebna lista'!$A$7:$R$38,3)))</f>
        <v>JUSTIN</v>
      </c>
      <c r="X25" s="63" t="str">
        <f>PROPER(IF($D43="","",VLOOKUP($D43,'[1]m glavni turnir žrebna lista'!$A$7:$R$38,4)))</f>
        <v>Urh</v>
      </c>
      <c r="Y25" s="64">
        <f t="shared" si="0"/>
        <v>10</v>
      </c>
      <c r="Z25" s="64">
        <f>IF(Y25="","",IF(AND($Q$63=1,U44=U43),30,IF(AND($Q$63=2,U44=U43),15,IF(AND($Q$63=3,U44=U43),10,""))))</f>
        <v>10</v>
      </c>
      <c r="AA25" s="64">
        <f>IF(Z25="","",IF(AND($Q$63=1,U44=U42,U44=U43),60,IF(AND($Q$63=2,U42=U44,U44=U43),30,IF(AND($Q$63=3,U42=U44,U44=U43),20,""))))</f>
        <v>20</v>
      </c>
      <c r="AB25" s="64">
        <f>IF(AA25="","",IF(AND($Q$63=1,U46=U42,U42=U44,U44=U43),120,IF(AND($Q$63=2,U46=U42,U42=U44,U44=U43),60,IF(AND($Q$63=3,U46=U42,U42=U44,U44=U43),40,""))))</f>
        <v>40</v>
      </c>
      <c r="AC25" s="64">
        <f>IF(AB25="","",IF(AND($Q$63=1,$U$43=$U$44,$U$44=$U$42,$U$42=$U$46,$U$46=$U$54),120,IF(AND($Q$63=2,$U$43=$U$44,$U$44=$U$42,$U$42=$U$46,$U$46=$U$54),60,IF(AND($Q$63=3,$U$43=$U$44,$U$44=$U$42,$U$42=$U$46,$U$46=$U$54),40,""))))</f>
        <v>40</v>
      </c>
      <c r="AD25" s="64">
        <f>IF(AC25="","",IF(AND($Q$63=1,$U$43=$U$44,$U$44=$U$42,$U$42=$U$46,$U$46=$U$54,$U$38=$U$54),120,IF(AND($Q$63=2,$U$43=$U$44,$U$44=$U$42,$U$42=$U$46,$U$46=$U$54,$U$38=$U$54),60,IF(AND($Q$63=3,$U$43=$U$44,$U$44=$U$42,$U$42=$U$46,$U$46=$U$54,$U$38=$U$54),40,""))))</f>
      </c>
      <c r="AE25" s="92">
        <f t="shared" si="1"/>
        <v>12</v>
      </c>
      <c r="AF25" s="41"/>
      <c r="AG25" s="93"/>
      <c r="AH25" s="93"/>
      <c r="AI25" s="93"/>
      <c r="AJ25" s="93"/>
    </row>
    <row r="26" spans="1:36" s="89" customFormat="1" ht="9" customHeight="1">
      <c r="A26" s="94"/>
      <c r="B26" s="95"/>
      <c r="C26" s="95"/>
      <c r="D26" s="111"/>
      <c r="E26" s="96"/>
      <c r="F26" s="96"/>
      <c r="G26" s="97"/>
      <c r="H26" s="96"/>
      <c r="I26" s="112"/>
      <c r="J26" s="98" t="s">
        <v>27</v>
      </c>
      <c r="K26" s="113" t="s">
        <v>33</v>
      </c>
      <c r="L26" s="100" t="str">
        <f>UPPER(IF(OR(K26="a",K26="as"),J24,IF(OR(K26="b",K26="bs"),J28,)))</f>
        <v>DIMITRIJEVIČ</v>
      </c>
      <c r="M26" s="114">
        <f>IF(OR(K26="a",K26="as"),K24,IF(OR(K26="b",K26="bs"),K28,))</f>
        <v>10</v>
      </c>
      <c r="N26" s="84"/>
      <c r="O26" s="123"/>
      <c r="P26" s="84"/>
      <c r="Q26" s="123"/>
      <c r="R26" s="88"/>
      <c r="U26" s="35">
        <f>IF(OR(K26="a",K26="as"),U24,IF(OR(K26="b",K26="bs"),U28,""))</f>
        <v>7367</v>
      </c>
      <c r="V26" s="63">
        <v>20</v>
      </c>
      <c r="W26" s="117">
        <f>UPPER(IF($D45="","",VLOOKUP($D45,'[1]m glavni turnir žrebna lista'!$A$7:$R$38,3)))</f>
      </c>
      <c r="X26" s="117">
        <f>PROPER(IF($D45="","",VLOOKUP($D45,'[1]m glavni turnir žrebna lista'!$A$7:$R$38,4)))</f>
      </c>
      <c r="Y26" s="104">
        <f t="shared" si="0"/>
      </c>
      <c r="Z26" s="104">
        <f>IF(Y26="","",IF(AND($Q$63=1,U45=U44),30,IF(AND($Q$63=2,U45=U44),15,IF(AND($Q$63=3,U45=U44),10,""))))</f>
      </c>
      <c r="AA26" s="104">
        <f>IF(Z26="","",IF(AND($Q$63=1,U45=U42,U45=U44),60,IF(AND($Q$63=2,U42=U45,U45=U44),30,IF(AND($Q$63=3,U42=U45,U45=U44),20,""))))</f>
      </c>
      <c r="AB26" s="104">
        <f>IF(AA26="","",IF(AND($Q$63=1,U46=U42,U42=U44,U45=U44),120,IF(AND($Q$63=2,U46=U42,U42=U44,U45=U44),60,IF(AND($Q$63=3,U46=U42,U42=U44,U45=U44),40,""))))</f>
      </c>
      <c r="AC26" s="104">
        <f>IF(AB26="","",IF(AND($Q$63=1,$U$45=$U$44,$U$44=$U$42,$U$42=$U$46,$U$46=$U$54),120,IF(AND($Q$63=2,$U$45=$U$44,$U$44=$U$42,$U$42=$U$46,$U$46=$U$54),60,IF(AND($Q$63=3,$U$45=$U$44,$U$44=$U$42,$U$42=$U$46,$U$46=$U$54),40,""))))</f>
      </c>
      <c r="AD26" s="104">
        <f>IF(AC26="","",IF(AND($Q$63=1,$U$45=$U$44,$U$44=$U$42,$U$42=$U$46,$U$46=$U$54,$U$38=$U$54),120,IF(AND($Q$63=2,$U$45=$U$44,$U$44=$U$42,$U$42=$U$46,$U$46=$U$54,$U$38=$U$54),60,IF(AND($Q$63=3,$U$45=$U$44,$U$44=$U$42,$U$42=$U$46,$U$46=$U$54,$U$38=$U$54),40,""))))</f>
      </c>
      <c r="AE26" s="105">
        <f t="shared" si="1"/>
        <v>0</v>
      </c>
      <c r="AF26" s="41"/>
      <c r="AG26" s="93"/>
      <c r="AH26" s="93"/>
      <c r="AI26" s="93"/>
      <c r="AJ26" s="93"/>
    </row>
    <row r="27" spans="1:36" s="89" customFormat="1" ht="9" customHeight="1">
      <c r="A27" s="94">
        <v>11</v>
      </c>
      <c r="B27" s="106">
        <f>IF($D27="","",VLOOKUP($D27,'[1]m glavni turnir žrebna lista'!$A$7:$R$38,17))</f>
      </c>
      <c r="C27" s="106">
        <f>IF($D27="","",VLOOKUP($D27,'[1]m glavni turnir žrebna lista'!$A$7:$R$38,2))</f>
      </c>
      <c r="D27" s="80"/>
      <c r="E27" s="107" t="s">
        <v>29</v>
      </c>
      <c r="F27" s="107">
        <f>PROPER(IF($D27="","",VLOOKUP($D27,'[1]m glavni turnir žrebna lista'!$A$7:$R$38,4)))</f>
      </c>
      <c r="G27" s="107"/>
      <c r="H27" s="107">
        <f>IF($D27="","",VLOOKUP($D27,'[1]m glavni turnir žrebna lista'!$A$7:$R$38,5))</f>
      </c>
      <c r="I27" s="81">
        <f>IF($D27="","",VLOOKUP($D27,'[1]m glavni turnir žrebna lista'!$A$7:$R$38,14))</f>
      </c>
      <c r="J27" s="82"/>
      <c r="K27" s="118"/>
      <c r="L27" s="109" t="s">
        <v>34</v>
      </c>
      <c r="M27" s="119"/>
      <c r="N27" s="84"/>
      <c r="O27" s="123"/>
      <c r="P27" s="84"/>
      <c r="Q27" s="123"/>
      <c r="R27" s="88"/>
      <c r="U27" s="35">
        <f>IF($D27="","",VLOOKUP($D27,'[1]m glavni turnir žrebna lista'!$A$7:$R$38,2))</f>
      </c>
      <c r="V27" s="63">
        <v>21</v>
      </c>
      <c r="W27" s="63" t="str">
        <f>UPPER(IF($D47="","",VLOOKUP($D47,'[1]m glavni turnir žrebna lista'!$A$7:$R$38,3)))</f>
        <v>KOŠTOMAJ</v>
      </c>
      <c r="X27" s="63" t="str">
        <f>PROPER(IF($D47="","",VLOOKUP($D47,'[1]m glavni turnir žrebna lista'!$A$7:$R$38,4)))</f>
        <v>Klemen</v>
      </c>
      <c r="Y27" s="64">
        <f t="shared" si="0"/>
        <v>10</v>
      </c>
      <c r="Z27" s="64">
        <f>IF(Y27="","",IF(AND($Q$63=1,U48=U47),30,IF(AND($Q$63=2,U48=U47),15,IF(AND($Q$63=3,U48=U47),10,""))))</f>
        <v>10</v>
      </c>
      <c r="AA27" s="64">
        <f>IF(Z27="","",IF(AND($Q$63=1,U50=U48,U48=U47),60,IF(AND($Q$63=2,U50=U48,U48=U47),30,IF(AND($Q$63=3,U50=U48,U48=U47),20,""))))</f>
      </c>
      <c r="AB27" s="64">
        <f>IF(AA27="","",IF(AND($Q$63=1,U46=U50,U50=U48,U48=U47),120,IF(AND($Q$63=2,U46=U50,U50=U48,U48=U47),60,IF(AND($Q$63=3,U46=U50,U50=U48,U48=U47),40,""))))</f>
      </c>
      <c r="AC27" s="64">
        <f>IF(AB27="","",IF(AND($Q$63=1,$U$47=$U$48,$U$48=$U$50,$U$50=$U$46,$U$46=$U$54),120,IF(AND($Q$63=2,$U$47=$U$48,$U$48=$U$50,$U$50=$U$46,$U$46=$U$54),60,IF(AND($Q$63=3,$U$47=$U$48,$U$48=$U$50,$U$50=$U$46,$U$46=$U$54),40,""))))</f>
      </c>
      <c r="AD27" s="64">
        <f>IF(AC27="","",IF(AND($Q$63=1,$U$47=$U$48,$U$48=$U$50,$U$50=$U$46,$U$46=$U$54,$U$38=$U$54),120,IF(AND($Q$63=2,$U$47=$U$48,$U$48=$U$50,$U$50=$U$46,$U$46=$U$54,$U$38=$U$54),60,IF(AND($Q$63=3,$U$47=$U$48,$U$48=$U$50,$U$50=$U$46,$U$46=$U$54,$U$38=$U$54),40,""))))</f>
      </c>
      <c r="AE27" s="92">
        <f t="shared" si="1"/>
        <v>2</v>
      </c>
      <c r="AF27" s="41"/>
      <c r="AG27" s="93"/>
      <c r="AH27" s="93"/>
      <c r="AI27" s="93"/>
      <c r="AJ27" s="93"/>
    </row>
    <row r="28" spans="1:36" s="89" customFormat="1" ht="9" customHeight="1">
      <c r="A28" s="129"/>
      <c r="B28" s="95"/>
      <c r="C28" s="95"/>
      <c r="D28" s="111"/>
      <c r="E28" s="96"/>
      <c r="F28" s="96"/>
      <c r="G28" s="97"/>
      <c r="H28" s="98" t="s">
        <v>27</v>
      </c>
      <c r="I28" s="99" t="s">
        <v>33</v>
      </c>
      <c r="J28" s="100" t="str">
        <f>UPPER(IF(OR(I28="a",I28="as"),E27,IF(OR(I28="b",I28="bs"),E29,)))</f>
        <v>DIMITRIJEVIČ</v>
      </c>
      <c r="K28" s="120">
        <f>IF(OR(I28="a",I28="as"),I27,IF(OR(I28="b",I28="bs"),I29,))</f>
        <v>10</v>
      </c>
      <c r="L28" s="82"/>
      <c r="M28" s="119"/>
      <c r="N28" s="84"/>
      <c r="O28" s="123"/>
      <c r="P28" s="84"/>
      <c r="Q28" s="123"/>
      <c r="R28" s="88"/>
      <c r="U28" s="35">
        <f>IF(OR(I28="a",I28="as"),C27,IF(OR(I28="b",I28="bs"),C29,""))</f>
        <v>7367</v>
      </c>
      <c r="V28" s="63">
        <v>22</v>
      </c>
      <c r="W28" s="117">
        <f>UPPER(IF($D49="","",VLOOKUP($D49,'[1]m glavni turnir žrebna lista'!$A$7:$R$38,3)))</f>
      </c>
      <c r="X28" s="117">
        <f>PROPER(IF($D49="","",VLOOKUP($D49,'[1]m glavni turnir žrebna lista'!$A$7:$R$38,4)))</f>
      </c>
      <c r="Y28" s="104">
        <f t="shared" si="0"/>
      </c>
      <c r="Z28" s="104">
        <f>IF(Y28="","",IF(AND($Q$63=1,U49=U48),30,IF(AND($Q$63=2,U49=U48),15,IF(AND($Q$63=3,U49=U48),10,""))))</f>
      </c>
      <c r="AA28" s="104">
        <f>IF(Z28="","",IF(AND($Q$63=1,U50=U49,U49=U48),60,IF(AND($Q$63=2,U50=U49,U49=U48),30,IF(AND($Q$63=3,U50=U49,U49=U48),20,""))))</f>
      </c>
      <c r="AB28" s="104">
        <f>IF(AA28="","",IF(AND($Q$63=1,U46=U50,U50=U48,U49=U48),120,IF(AND($Q$63=2,U46=U50,U50=U48,U48=U49),60,IF(AND($Q$63=3,U46=U50,U50=U48,U49=U48),40,""))))</f>
      </c>
      <c r="AC28" s="104">
        <f>IF(AB28="","",IF(AND($Q$63=1,$U$49=$U$48,$U$48=$U$50,$U$50=$U$46,$U$46=$U$54),120,IF(AND($Q$63=2,$U$49=$U$48,$U$48=$U$50,$U$50=$U$46,$U$46=$U$54),60,IF(AND($Q$63=3,$U$49=$U$48,$U$48=$U$50,$U$50=$U$46,$U$46=$U$54),40,""))))</f>
      </c>
      <c r="AD28" s="104">
        <f>IF(AC28="","",IF(AND($Q$63=1,$U$49=$U$48,$U$48=$U$50,$U$50=$U$46,$U$46=$U$54,$U$38=$U$54),120,IF(AND($Q$63=2,$U$49=$U$48,$U$48=$U$50,$U$50=$U$46,$U$46=$U$54,$U$38=$U$54),60,IF(AND($Q$63=3,$U$49=$U$48,$U$48=$U$50,$U$50=$U$46,$U$46=$U$54,$U$38=$U$54),40,""))))</f>
      </c>
      <c r="AE28" s="105">
        <f t="shared" si="1"/>
        <v>0</v>
      </c>
      <c r="AF28" s="41"/>
      <c r="AG28" s="93"/>
      <c r="AH28" s="93"/>
      <c r="AI28" s="93"/>
      <c r="AJ28" s="93"/>
    </row>
    <row r="29" spans="1:36" s="89" customFormat="1" ht="9" customHeight="1">
      <c r="A29" s="94">
        <v>12</v>
      </c>
      <c r="B29" s="106" t="s">
        <v>26</v>
      </c>
      <c r="C29" s="106">
        <f>IF($D29="","",VLOOKUP($D29,'[1]m glavni turnir žrebna lista'!$A$7:$R$38,2))</f>
        <v>7367</v>
      </c>
      <c r="D29" s="80">
        <v>13</v>
      </c>
      <c r="E29" s="107" t="str">
        <f>UPPER(IF($D29="","",VLOOKUP($D29,'[1]m glavni turnir žrebna lista'!$A$7:$R$38,3)))</f>
        <v>DIMITRIJEVIČ</v>
      </c>
      <c r="F29" s="107" t="str">
        <f>PROPER(IF($D29="","",VLOOKUP($D29,'[1]m glavni turnir žrebna lista'!$A$7:$R$38,4)))</f>
        <v>Nik</v>
      </c>
      <c r="G29" s="107"/>
      <c r="H29" s="107" t="str">
        <f>IF($D29="","",VLOOKUP($D29,'[1]m glavni turnir žrebna lista'!$A$7:$R$38,5))</f>
        <v>CELJE</v>
      </c>
      <c r="I29" s="108">
        <f>IF($D29="","",VLOOKUP($D29,'[1]m glavni turnir žrebna lista'!$A$7:$R$38,14))</f>
        <v>10</v>
      </c>
      <c r="J29" s="109"/>
      <c r="K29" s="83">
        <f>IF(OR(I29="a",I29="as"),I28,IF(OR(I29="b",I29="bs"),I30,))</f>
        <v>0</v>
      </c>
      <c r="L29" s="82"/>
      <c r="M29" s="119"/>
      <c r="N29" s="84"/>
      <c r="O29" s="123"/>
      <c r="P29" s="84"/>
      <c r="Q29" s="123"/>
      <c r="R29" s="88"/>
      <c r="U29" s="35">
        <f>IF($D29="","",VLOOKUP($D29,'[1]m glavni turnir žrebna lista'!$A$7:$R$38,2))</f>
        <v>7367</v>
      </c>
      <c r="V29" s="63">
        <v>23</v>
      </c>
      <c r="W29" s="63">
        <f>UPPER(IF($D51="","",VLOOKUP($D51,'[1]m glavni turnir žrebna lista'!$A$7:$R$38,3)))</f>
      </c>
      <c r="X29" s="63">
        <f>PROPER(IF($D51="","",VLOOKUP($D51,'[1]m glavni turnir žrebna lista'!$A$7:$R$38,4)))</f>
      </c>
      <c r="Y29" s="64">
        <f t="shared" si="0"/>
      </c>
      <c r="Z29" s="64">
        <f>IF(Y29="","",IF(AND($Q$63=1,U52=U51),30,IF(AND($Q$63=2,U52=U51),15,IF(AND($Q$63=3,U52=U51),10,""))))</f>
      </c>
      <c r="AA29" s="64">
        <f>IF(Z29="","",IF(AND($Q$63=1,U51=U50,U50=U52),60,IF(AND($Q$63=2,U51=U50,U50=U52),30,IF(AND($Q$63=3,U51=U50,U50=U52),20,""))))</f>
      </c>
      <c r="AB29" s="64">
        <f>IF(AA29="","",IF(AND($Q$63=1,U46=U50,U50=U52,U52=U51),120,IF(AND($Q$63=2,U46=U50,U50=U52,U52=U51),60,IF(AND($Q$63=3,U46=U50,U50=U52,U52=U51),40,""))))</f>
      </c>
      <c r="AC29" s="64">
        <f>IF(AB29="","",IF(AND($Q$63=1,$U$51=$U$52,$U$52=$U$50,$U$50=$U$46,$U$46=$U$54),120,IF(AND($Q$63=2,$U$51=$U$52,$U$52=$U$50,$U$50=$U$46,$U$46=$U$54),60,IF(AND($Q$63=3,$U$51=$U$52,$U$52=$U$50,$U$50=$U$46,$U$46=$U$54),40,""))))</f>
      </c>
      <c r="AD29" s="64">
        <f>IF(AC29="","",IF(AND($Q$63=1,$U$51=$U$52,$U$52=$U$50,$U$50=$U$46,$U$46=$U$54,$U$38=$U$54),120,IF(AND($Q$63=2,$U$51=$U$52,$U$52=$U$50,$U$50=$U$46,$U$46=$U$54,$U$38=$U$54),60,IF(AND($Q$63=3,$U$51=$U$52,$U$52=$U$50,$U$50=$U$46,$U$46=$U$54,$U$38=$U$54),40,""))))</f>
      </c>
      <c r="AE29" s="92">
        <f t="shared" si="1"/>
        <v>0</v>
      </c>
      <c r="AF29" s="41"/>
      <c r="AG29" s="93"/>
      <c r="AH29" s="93"/>
      <c r="AI29" s="93"/>
      <c r="AJ29" s="93"/>
    </row>
    <row r="30" spans="1:36" s="89" customFormat="1" ht="9" customHeight="1">
      <c r="A30" s="94"/>
      <c r="B30" s="95"/>
      <c r="C30" s="95"/>
      <c r="D30" s="111"/>
      <c r="E30" s="82"/>
      <c r="F30" s="82"/>
      <c r="G30" s="121"/>
      <c r="H30" s="122"/>
      <c r="I30" s="112"/>
      <c r="J30" s="82"/>
      <c r="K30" s="83"/>
      <c r="L30" s="98" t="s">
        <v>27</v>
      </c>
      <c r="M30" s="113" t="s">
        <v>31</v>
      </c>
      <c r="N30" s="100" t="str">
        <f>UPPER(IF(OR(M30="a",M30="as"),L26,IF(OR(M30="b",M30="bs"),L34,)))</f>
        <v>REBERČNIK</v>
      </c>
      <c r="O30" s="130">
        <f>IF(OR(M30="a",M30="as"),M26,IF(OR(M30="b",M30="bs"),M34,))</f>
        <v>10</v>
      </c>
      <c r="P30" s="84"/>
      <c r="Q30" s="123"/>
      <c r="R30" s="88"/>
      <c r="U30" s="35">
        <f>IF(OR(M30="a",M30="as"),U26,IF(OR(M30="b",M30="bs"),U34,""))</f>
        <v>7141</v>
      </c>
      <c r="V30" s="63">
        <v>24</v>
      </c>
      <c r="W30" s="117" t="str">
        <f>UPPER(IF($D53="","",VLOOKUP($D53,'[1]m glavni turnir žrebna lista'!$A$7:$R$38,3)))</f>
        <v>CAF</v>
      </c>
      <c r="X30" s="117" t="str">
        <f>PROPER(IF($D53="","",VLOOKUP($D53,'[1]m glavni turnir žrebna lista'!$A$7:$R$38,4)))</f>
        <v>Gregor</v>
      </c>
      <c r="Y30" s="104">
        <f t="shared" si="0"/>
        <v>10</v>
      </c>
      <c r="Z30" s="104">
        <f>IF(Y30="","",IF(AND($Q$63=1,U53=U52),30,IF(AND($Q$63=2,U53=U52),15,IF(AND($Q$63=3,U53=U52),10,""))))</f>
        <v>10</v>
      </c>
      <c r="AA30" s="104">
        <f>IF(Z30="","",IF(AND($Q$63=1,U52=U50,U52=U53),60,IF(AND($Q$63=2,U52=U50,U52=U53),30,IF(AND($Q$63=3,U52=U50,U52=U53),20,""))))</f>
        <v>20</v>
      </c>
      <c r="AB30" s="104">
        <f>IF(AA30="","",IF(AND($Q$63=1,U46=U50,U50=U52,U53=U52),120,IF(AND($Q$63=2,U46=U50,U50=U52,U53=U52),60,IF(AND($Q$63=3,U46=U50,U50=U52,U53=U52),40,""))))</f>
      </c>
      <c r="AC30" s="104">
        <f>IF(AB30="","",IF(AND($Q$63=1,$U$53=$U$52,$U$52=$U$50,$U$50=$U$46,$U$46=$U$54),120,IF(AND($Q$63=2,$U$53=$U$52,$U$52=$U$50,$U$50=$U$46,$U$46=$U$54),60,IF(AND($Q$63=3,$U$53=$U$52,$U$52=$U$50,$U$50=$U$46,$U$46=$U$54),40,""))))</f>
      </c>
      <c r="AD30" s="104">
        <f>IF(AC30="","",IF(AND($Q$63=1,$U$53=$U$52,$U$52=$U$50,$U$50=$U$46,$U$46=$U$54,$U$38=$U$54),120,IF(AND($Q$63=2,$U$53=$U$52,$U$52=$U$50,$U$50=$U$46,$U$46=$U$54,$U$38=$U$54),60,IF(AND($Q$63=3,$U$53=$U$52,$U$52=$U$50,$U$50=$U$46,$U$46=$U$54,$U$38=$U$54),40,""))))</f>
      </c>
      <c r="AE30" s="105">
        <f t="shared" si="1"/>
        <v>4</v>
      </c>
      <c r="AF30" s="41"/>
      <c r="AG30" s="93"/>
      <c r="AH30" s="93"/>
      <c r="AI30" s="93"/>
      <c r="AJ30" s="93"/>
    </row>
    <row r="31" spans="1:36" s="89" customFormat="1" ht="9" customHeight="1">
      <c r="A31" s="94">
        <v>13</v>
      </c>
      <c r="B31" s="106" t="s">
        <v>26</v>
      </c>
      <c r="C31" s="106">
        <f>IF($D31="","",VLOOKUP($D31,'[1]m glavni turnir žrebna lista'!$A$7:$R$38,2))</f>
        <v>7141</v>
      </c>
      <c r="D31" s="80">
        <v>10</v>
      </c>
      <c r="E31" s="107" t="str">
        <f>UPPER(IF($D31="","",VLOOKUP($D31,'[1]m glavni turnir žrebna lista'!$A$7:$R$38,3)))</f>
        <v>REBERČNIK</v>
      </c>
      <c r="F31" s="107" t="str">
        <f>PROPER(IF($D31="","",VLOOKUP($D31,'[1]m glavni turnir žrebna lista'!$A$7:$R$38,4)))</f>
        <v>Domen</v>
      </c>
      <c r="G31" s="107"/>
      <c r="H31" s="107" t="str">
        <f>IF($D31="","",VLOOKUP($D31,'[1]m glavni turnir žrebna lista'!$A$7:$R$38,5))</f>
        <v>ŠTKVE</v>
      </c>
      <c r="I31" s="81">
        <f>IF($D31="","",VLOOKUP($D31,'[1]m glavni turnir žrebna lista'!$A$7:$R$38,14))</f>
        <v>10</v>
      </c>
      <c r="J31" s="82"/>
      <c r="K31" s="83"/>
      <c r="L31" s="82"/>
      <c r="M31" s="119"/>
      <c r="N31" s="109" t="s">
        <v>37</v>
      </c>
      <c r="O31" s="85"/>
      <c r="P31" s="84"/>
      <c r="Q31" s="123"/>
      <c r="R31" s="88"/>
      <c r="U31" s="35">
        <f>IF($D31="","",VLOOKUP($D31,'[1]m glavni turnir žrebna lista'!$A$7:$R$38,2))</f>
        <v>7141</v>
      </c>
      <c r="V31" s="63">
        <v>25</v>
      </c>
      <c r="W31" s="63" t="str">
        <f>UPPER(IF($D55="","",VLOOKUP($D55,'[1]m glavni turnir žrebna lista'!$A$7:$R$38,3)))</f>
        <v>DOLENC</v>
      </c>
      <c r="X31" s="63" t="str">
        <f>PROPER(IF($D55="","",VLOOKUP($D55,'[1]m glavni turnir žrebna lista'!$A$7:$R$38,4)))</f>
        <v>Anže</v>
      </c>
      <c r="Y31" s="64">
        <f t="shared" si="0"/>
        <v>10</v>
      </c>
      <c r="Z31" s="64">
        <f>IF(Y31="","",IF(AND($Q$63=1,U56=U55),30,IF(AND($Q$63=2,U56=U55),15,IF(AND($Q$63=3,U56=U55),10,""))))</f>
        <v>10</v>
      </c>
      <c r="AA31" s="64">
        <f>IF(Z31="","",IF(AND($Q$63=1,U55=U56,U56=U58),60,IF(AND($Q$63=2,U55=U56,U56=U58),30,IF(AND($Q$63=3,U55=U56,U56=U58),20,""))))</f>
      </c>
      <c r="AB31" s="64">
        <f>IF(AA31="","",IF(AND($Q$63=1,U62=U58,U58=U56,U56=U55),120,IF(AND($Q$63=2,U62=U58,U58=U56,U56=U55),60,IF(AND($Q$63=3,U62=U58,U58=U56,U56=U55),40,""))))</f>
      </c>
      <c r="AC31" s="64">
        <f>IF(AB31="","",IF(AND($Q$63=1,$U$55=$U$56,$U$56=$U$58,$U$58=$U$62,$U$62=$U$54),120,IF(AND($Q$63=2,$U$55=$U$56,$U$56=$U$58,$U$58=$U$62,$U$62=$U$54),60,IF(AND($Q$63=3,$U$55=$U$56,$U$56=$U$58,$U$58=$U$62,$U$62=$U$54),40,""))))</f>
      </c>
      <c r="AD31" s="64">
        <f>IF(AC31="","",IF(AND($Q$63=1,$U$55=$U$56,$U$56=$U$58,$U$58=$U$62,$U$62=$U$54,$U$38=$U$54),120,IF(AND($Q$63=2,$U$55=$U$56,$U$56=$U$58,$U$58=$U$62,$U$62=$U$54,$U$38=$U$54),60,IF(AND($Q$63=3,$U$55=$U$56,$U$56=$U$58,$U$58=$U$62,$U$62=$U$54,$U$38=$U$54),40,""))))</f>
      </c>
      <c r="AE31" s="92">
        <f t="shared" si="1"/>
        <v>2</v>
      </c>
      <c r="AF31" s="41"/>
      <c r="AG31" s="93"/>
      <c r="AH31" s="93"/>
      <c r="AI31" s="93"/>
      <c r="AJ31" s="93"/>
    </row>
    <row r="32" spans="1:36" s="89" customFormat="1" ht="9" customHeight="1">
      <c r="A32" s="94"/>
      <c r="B32" s="95"/>
      <c r="C32" s="95"/>
      <c r="D32" s="111"/>
      <c r="E32" s="96"/>
      <c r="F32" s="96"/>
      <c r="G32" s="97"/>
      <c r="H32" s="98" t="s">
        <v>27</v>
      </c>
      <c r="I32" s="99" t="s">
        <v>28</v>
      </c>
      <c r="J32" s="100" t="str">
        <f>UPPER(IF(OR(I32="a",I32="as"),E31,IF(OR(I32="b",I32="bs"),E33,)))</f>
        <v>REBERČNIK</v>
      </c>
      <c r="K32" s="101">
        <f>IF(OR(I32="a",I32="as"),I31,IF(OR(I32="b",I32="bs"),I33,))</f>
        <v>10</v>
      </c>
      <c r="L32" s="82"/>
      <c r="M32" s="119"/>
      <c r="N32" s="84"/>
      <c r="O32" s="85"/>
      <c r="P32" s="84"/>
      <c r="Q32" s="123"/>
      <c r="R32" s="88"/>
      <c r="U32" s="35">
        <f>IF(OR(I32="a",I32="as"),C31,IF(OR(I32="b",I32="bs"),C33,""))</f>
        <v>7141</v>
      </c>
      <c r="V32" s="63">
        <v>26</v>
      </c>
      <c r="W32" s="117">
        <f>UPPER(IF($D57="","",VLOOKUP($D57,'[1]m glavni turnir žrebna lista'!$A$7:$R$38,3)))</f>
      </c>
      <c r="X32" s="117">
        <f>PROPER(IF($D57="","",VLOOKUP($D57,'[1]m glavni turnir žrebna lista'!$A$7:$R$38,4)))</f>
      </c>
      <c r="Y32" s="104">
        <f t="shared" si="0"/>
      </c>
      <c r="Z32" s="104">
        <f>IF(Y32="","",IF(AND($Q$63=1,U57=U56),30,IF(AND($Q$63=2,U57=U56),15,IF(AND($Q$63=3,U57=U56),10,""))))</f>
      </c>
      <c r="AA32" s="104">
        <f>IF(Z32="","",IF(AND($Q$63=1,U56=U57,U57=U58),60,IF(AND($Q$63=2,U56=U57,U57=U58),30,IF(AND($Q$63=3,U56=U57,U57=U58),20,""))))</f>
      </c>
      <c r="AB32" s="104">
        <f>IF(AA32="","",IF(AND($Q$63=1,U62=U58,U58=U56,U56=U57),120,IF(AND($Q$63=2,U62=U58,U58=U56,U56=U57),60,IF(AND($Q$63=3,U62=U58,U58=U56,U56=U57),40,""))))</f>
      </c>
      <c r="AC32" s="104">
        <f>IF(AB32="","",IF(AND($Q$63=1,$U$57=$U$56,$U$56=$U$58,$U$58=$U$62,$U$62=$U$54),120,IF(AND($Q$63=2,$U$57=$U$56,$U$56=$U$58,$U$58=$U$62,$U$62=$U$54),60,IF(AND($Q$63=3,$U$57=$U$56,$U$56=$U$58,$U$58=$U$62,$U$62=$U$54),40,""))))</f>
      </c>
      <c r="AD32" s="104">
        <f>IF(AC32="","",IF(AND($Q$63=1,$U$57=$U$56,$U$56=$U$58,$U$58=$U$62,$U$62=$U$54,$U$38=$U$54),120,IF(AND($Q$63=2,$U$57=$U$56,$U$56=$U$58,$U$58=$U$62,$U$62=$U$54,$U$38=$U$54),60,IF(AND($Q$63=3,$U$57=$U$56,$U$56=$U$58,$U$58=$U$62,$U$62=$U$54,$U$38=$U$54),40,""))))</f>
      </c>
      <c r="AE32" s="105">
        <f t="shared" si="1"/>
        <v>0</v>
      </c>
      <c r="AF32" s="41"/>
      <c r="AG32" s="93"/>
      <c r="AH32" s="93"/>
      <c r="AI32" s="93"/>
      <c r="AJ32" s="93"/>
    </row>
    <row r="33" spans="1:36" s="89" customFormat="1" ht="9" customHeight="1">
      <c r="A33" s="94">
        <v>14</v>
      </c>
      <c r="B33" s="106" t="s">
        <v>26</v>
      </c>
      <c r="C33" s="106">
        <f>IF($D33="","",VLOOKUP($D33,'[1]m glavni turnir žrebna lista'!$A$7:$R$38,2))</f>
        <v>7307</v>
      </c>
      <c r="D33" s="80">
        <v>18</v>
      </c>
      <c r="E33" s="107" t="str">
        <f>UPPER(IF($D33="","",VLOOKUP($D33,'[1]m glavni turnir žrebna lista'!$A$7:$R$38,3)))</f>
        <v>VAJD</v>
      </c>
      <c r="F33" s="107" t="str">
        <f>PROPER(IF($D33="","",VLOOKUP($D33,'[1]m glavni turnir žrebna lista'!$A$7:$R$38,4)))</f>
        <v>Mark David</v>
      </c>
      <c r="G33" s="107"/>
      <c r="H33" s="107" t="str">
        <f>IF($D33="","",VLOOKUP($D33,'[1]m glavni turnir žrebna lista'!$A$7:$R$38,5))</f>
        <v>HITLJ</v>
      </c>
      <c r="I33" s="108">
        <f>IF($D33="","",VLOOKUP($D33,'[1]m glavni turnir žrebna lista'!$A$7:$R$38,14))</f>
        <v>10</v>
      </c>
      <c r="J33" s="109" t="s">
        <v>38</v>
      </c>
      <c r="K33" s="110"/>
      <c r="L33" s="82"/>
      <c r="M33" s="119"/>
      <c r="N33" s="84"/>
      <c r="O33" s="85"/>
      <c r="P33" s="84"/>
      <c r="Q33" s="123"/>
      <c r="R33" s="88"/>
      <c r="U33" s="35">
        <f>IF($D33="","",VLOOKUP($D33,'[1]m glavni turnir žrebna lista'!$A$7:$R$38,2))</f>
        <v>7307</v>
      </c>
      <c r="V33" s="63">
        <v>27</v>
      </c>
      <c r="W33" s="63" t="str">
        <f>UPPER(IF($D59="","",VLOOKUP($D59,'[1]m glavni turnir žrebna lista'!$A$7:$R$38,3)))</f>
        <v>PURIĆ</v>
      </c>
      <c r="X33" s="63" t="str">
        <f>PROPER(IF($D59="","",VLOOKUP($D59,'[1]m glavni turnir žrebna lista'!$A$7:$R$38,4)))</f>
        <v>Dorian</v>
      </c>
      <c r="Y33" s="64">
        <f t="shared" si="0"/>
        <v>10</v>
      </c>
      <c r="Z33" s="64">
        <f>IF(Y33="","",IF(AND($Q$63=1,U60=U59),30,IF(AND($Q$63=2,U60=U59),15,IF(AND($Q$63=3,U60=U59),10,""))))</f>
        <v>10</v>
      </c>
      <c r="AA33" s="64">
        <f>IF(Z33="","",IF(AND($Q$63=1,U60=U58,U58=U59),60,IF(AND($Q$63=2,U60=U58,U58=U59),30,IF(AND($Q$63=3,U60=U58,U58=U59),20,""))))</f>
        <v>20</v>
      </c>
      <c r="AB33" s="64">
        <f>IF(AA33="","",IF(AND($Q$63=1,U62=U58,U58=U60,U60=U59),120,IF(AND($Q$63=2,U62=U58,U58=U60,U60=U59),60,IF(AND($Q$63=3,U62=U58,U58=U60,U60=U59),40,""))))</f>
      </c>
      <c r="AC33" s="64">
        <f>IF(AB33="","",IF(AND($Q$63=1,$U$59=$U$60,$U$60=$U$58,$U$58=$U$62,$U$62=$U$54),120,IF(AND($Q$63=2,$U$59=$U$60,$U$60=$U$58,$U$58=$U$62,$U$62=$U$54),60,IF(AND($Q$63=3,$U$59=$U$60,$U$60=$U$58,$U$58=$U$62,$U$62=$U$54),40,""))))</f>
      </c>
      <c r="AD33" s="64">
        <f>IF(AC33="","",IF(AND($Q$63=1,$U$59=$U$60,$U$60=$U$58,$U$58=$U$62,$U$62=$U$54,$U$38=$U$54),120,IF(AND($Q$63=2,$U$59=$U$60,$U$60=$U$58,$U$58=$U$62,$U$62=$U$54,$U$38=$U$54),60,IF(AND($Q$63=3,$U$59=$U$60,$U$60=$U$58,$U$58=$U$62,$U$62=$U$54,$U$38=$U$54),40,""))))</f>
      </c>
      <c r="AE33" s="92">
        <f t="shared" si="1"/>
        <v>4</v>
      </c>
      <c r="AF33" s="41"/>
      <c r="AG33" s="93"/>
      <c r="AH33" s="93"/>
      <c r="AI33" s="93"/>
      <c r="AJ33" s="93"/>
    </row>
    <row r="34" spans="1:36" s="89" customFormat="1" ht="9" customHeight="1">
      <c r="A34" s="94"/>
      <c r="B34" s="95"/>
      <c r="C34" s="95"/>
      <c r="D34" s="111"/>
      <c r="E34" s="96"/>
      <c r="F34" s="96"/>
      <c r="G34" s="97"/>
      <c r="H34" s="82"/>
      <c r="I34" s="112"/>
      <c r="J34" s="98" t="s">
        <v>27</v>
      </c>
      <c r="K34" s="113" t="s">
        <v>28</v>
      </c>
      <c r="L34" s="100" t="str">
        <f>UPPER(IF(OR(K34="a",K34="as"),J32,IF(OR(K34="b",K34="bs"),J36,)))</f>
        <v>REBERČNIK</v>
      </c>
      <c r="M34" s="125">
        <f>IF(OR(K34="a",K34="as"),K32,IF(OR(K34="b",K34="bs"),K36,))</f>
        <v>10</v>
      </c>
      <c r="N34" s="84"/>
      <c r="O34" s="85"/>
      <c r="P34" s="84"/>
      <c r="Q34" s="123"/>
      <c r="R34" s="88"/>
      <c r="U34" s="35">
        <f>IF(OR(K34="a",K34="as"),U32,IF(OR(K34="b",K34="bs"),U36,""))</f>
        <v>7141</v>
      </c>
      <c r="V34" s="63">
        <v>28</v>
      </c>
      <c r="W34" s="117" t="str">
        <f>UPPER(IF($D61="","",VLOOKUP($D61,'[1]m glavni turnir žrebna lista'!$A$7:$R$38,3)))</f>
        <v>REBEC</v>
      </c>
      <c r="X34" s="117" t="str">
        <f>PROPER(IF($D61="","",VLOOKUP($D61,'[1]m glavni turnir žrebna lista'!$A$7:$R$38,4)))</f>
        <v>Gašper</v>
      </c>
      <c r="Y34" s="104">
        <f t="shared" si="0"/>
        <v>10</v>
      </c>
      <c r="Z34" s="104">
        <f>IF(Y34="","",IF(AND($Q$63=1,U61=U60),30,IF(AND($Q$63=2,U61=U60),15,IF(AND($Q$63=3,U61=U60),10,""))))</f>
      </c>
      <c r="AA34" s="104">
        <f>IF(Z34="","",IF(AND($Q$63=1,U61=U58,U58=U60),60,IF(AND($Q$63=2,U61=U58,U58=U60),30,IF(AND($Q$63=3,U61=U58,U58=U60),20,""))))</f>
      </c>
      <c r="AB34" s="104">
        <f>IF(AA34="","",IF(AND($Q$63=1,U62=U58,U58=U60,U60=U61),120,IF(AND($Q$63=2,U62=U58,U58=U60,U60=U61),60,IF(AND($Q$63=3,U62=U58,U58=U60,U60=U61),40,""))))</f>
      </c>
      <c r="AC34" s="104">
        <f>IF(AB34="","",IF(AND($Q$63=1,$U$61=$U$60,$U$60=$U$58,$U$58=$U$62,$U$62=$U$54),120,IF(AND($Q$63=2,$U$61=$U$60,$U$60=$U$58,$U$58=$U$62,$U$62=$U$54),60,IF(AND($Q$63=3,$U$61=$U$60,$U$60=$U$58,$U$58=$U$62,$U$62=$U$54),40,""))))</f>
      </c>
      <c r="AD34" s="104">
        <f>IF(AC34="","",IF(AND($Q$63=1,$U$61=$U$60,$U$60=$U$58,$U$58=$U$62,$U$62=$U$54,$U$38=$U$54),120,IF(AND($Q$63=2,$U$61=$U$60,$U$60=$U$58,$U$58=$U$62,$U$62=$U$54,$U$38=$U$54),60,IF(AND($Q$63=3,$U$61=$U$60,$U$60=$U$58,$U$58=$U$62,$U$62=$U$54,$U$38=$U$54),40,""))))</f>
      </c>
      <c r="AE34" s="105">
        <f t="shared" si="1"/>
        <v>1</v>
      </c>
      <c r="AF34" s="41"/>
      <c r="AG34" s="93"/>
      <c r="AH34" s="93"/>
      <c r="AI34" s="93"/>
      <c r="AJ34" s="93"/>
    </row>
    <row r="35" spans="1:36" s="89" customFormat="1" ht="9" customHeight="1">
      <c r="A35" s="94">
        <v>15</v>
      </c>
      <c r="B35" s="106">
        <f>IF($D35="","",VLOOKUP($D35,'[1]m glavni turnir žrebna lista'!$A$7:$R$38,17))</f>
      </c>
      <c r="C35" s="106">
        <f>IF($D35="","",VLOOKUP($D35,'[1]m glavni turnir žrebna lista'!$A$7:$R$38,2))</f>
      </c>
      <c r="D35" s="80"/>
      <c r="E35" s="107" t="s">
        <v>29</v>
      </c>
      <c r="F35" s="107">
        <f>PROPER(IF($D35="","",VLOOKUP($D35,'[1]m glavni turnir žrebna lista'!$A$7:$R$38,4)))</f>
      </c>
      <c r="G35" s="107"/>
      <c r="H35" s="107">
        <f>IF($D35="","",VLOOKUP($D35,'[1]m glavni turnir žrebna lista'!$A$7:$R$38,5))</f>
      </c>
      <c r="I35" s="81">
        <f>IF($D35="","",VLOOKUP($D35,'[1]m glavni turnir žrebna lista'!$A$7:$R$38,14))</f>
      </c>
      <c r="J35" s="82"/>
      <c r="K35" s="118"/>
      <c r="L35" s="109" t="s">
        <v>39</v>
      </c>
      <c r="M35" s="116"/>
      <c r="N35" s="84"/>
      <c r="O35" s="85"/>
      <c r="P35" s="84"/>
      <c r="Q35" s="123"/>
      <c r="R35" s="88"/>
      <c r="U35" s="35">
        <f>IF($D35="","",VLOOKUP($D35,'[1]m glavni turnir žrebna lista'!$A$7:$R$38,2))</f>
      </c>
      <c r="V35" s="63">
        <v>29</v>
      </c>
      <c r="W35" s="63" t="str">
        <f>UPPER(IF($D63="","",VLOOKUP($D63,'[1]m glavni turnir žrebna lista'!$A$7:$R$38,3)))</f>
        <v>KVAS</v>
      </c>
      <c r="X35" s="63" t="str">
        <f>PROPER(IF($D63="","",VLOOKUP($D63,'[1]m glavni turnir žrebna lista'!$A$7:$R$38,4)))</f>
        <v>Miha</v>
      </c>
      <c r="Y35" s="64">
        <f t="shared" si="0"/>
        <v>10</v>
      </c>
      <c r="Z35" s="64">
        <f>IF(Y35="","",IF(AND($Q$63=1,U64=U63),30,IF(AND($Q$63=2,U64=U63),15,IF(AND($Q$63=3,U64=U63),10,""))))</f>
        <v>10</v>
      </c>
      <c r="AA35" s="64">
        <f>IF(Z35="","",IF(AND($Q$63=1,U63=U64,U64=U66),60,IF(AND($Q$63=2,U63=U64,U64=U66),30,IF(AND($Q$63=3,U63=U64,U64=U66),20,""))))</f>
        <v>20</v>
      </c>
      <c r="AB35" s="64">
        <f>IF(AA35="","",IF(AND($Q$63=1,U62=U66,U66=U64,U64=U63),120,IF(AND($Q$63=2,U62=U66,U66=U64,U64=U63),60,IF(AND($Q$63=3,U62=U66,U66=U64,U64=U63),40,""))))</f>
        <v>40</v>
      </c>
      <c r="AC35" s="64">
        <f>IF(AB35="","",IF(AND($Q$63=1,$U$63=$U$64,$U$64=$U$66,$U$66=$U$62,$U$62=$U$54),120,IF(AND($Q$63=2,$U$63=$U$64,$U$64=$U$66,$U$66=$U$62,$U$62=$U$54),60,IF(AND($Q$63=3,$U$63=$U$64,$U$64=$U$66,$U$66=$U$62,$U$62=$U$54),40,""))))</f>
      </c>
      <c r="AD35" s="64">
        <f>IF(AC35="","",IF(AND($Q$63=1,$U$63=$U$64,$U$64=$U$66,$U$66=$U$62,$U$62=$U$54,$U$38=$U$54),120,IF(AND($Q$63=2,$U$63=$U$64,$U$64=$U$66,$U$66=$U$62,$U$62=$U$54,$U$38=$U$54),60,IF(AND($Q$63=3,$U$63=$U$64,$U$64=$U$66,$U$66=$U$62,$U$62=$U$54,$U$38=$U$54),40,""))))</f>
      </c>
      <c r="AE35" s="92">
        <f t="shared" si="1"/>
        <v>8</v>
      </c>
      <c r="AF35" s="41"/>
      <c r="AG35" s="93"/>
      <c r="AH35" s="93"/>
      <c r="AI35" s="93"/>
      <c r="AJ35" s="93"/>
    </row>
    <row r="36" spans="1:36" s="89" customFormat="1" ht="9" customHeight="1">
      <c r="A36" s="94"/>
      <c r="B36" s="95"/>
      <c r="C36" s="95"/>
      <c r="D36" s="95"/>
      <c r="E36" s="96"/>
      <c r="F36" s="96"/>
      <c r="G36" s="97"/>
      <c r="H36" s="98" t="s">
        <v>27</v>
      </c>
      <c r="I36" s="99" t="s">
        <v>33</v>
      </c>
      <c r="J36" s="100" t="str">
        <f>UPPER(IF(OR(I36="a",I36="as"),E35,IF(OR(I36="b",I36="bs"),E37,)))</f>
        <v>POTISK</v>
      </c>
      <c r="K36" s="120">
        <f>IF(OR(I36="a",I36="as"),I35,IF(OR(I36="b",I36="bs"),I37,))</f>
        <v>10</v>
      </c>
      <c r="L36" s="82"/>
      <c r="M36" s="116"/>
      <c r="N36" s="84"/>
      <c r="O36" s="85"/>
      <c r="P36" s="84"/>
      <c r="Q36" s="123"/>
      <c r="R36" s="88"/>
      <c r="U36" s="35">
        <f>IF(OR(I36="a",I36="as"),C35,IF(OR(I36="b",I36="bs"),C37,""))</f>
        <v>7898</v>
      </c>
      <c r="V36" s="63">
        <v>30</v>
      </c>
      <c r="W36" s="117">
        <f>UPPER(IF($D65="","",VLOOKUP($D65,'[1]m glavni turnir žrebna lista'!$A$7:$R$38,3)))</f>
      </c>
      <c r="X36" s="117">
        <f>PROPER(IF($D65="","",VLOOKUP($D65,'[1]m glavni turnir žrebna lista'!$A$7:$R$38,4)))</f>
      </c>
      <c r="Y36" s="104">
        <f t="shared" si="0"/>
      </c>
      <c r="Z36" s="104">
        <f>IF(Y36="","",IF(AND($Q$63=1,U65=U64),30,IF(AND($Q$63=2,U65=U64),15,IF(AND($Q$63=3,U65=U64),10,""))))</f>
      </c>
      <c r="AA36" s="104">
        <f>IF(Z36="","",IF(AND($Q$63=1,U64=U65,U65=U66),60,IF(AND($Q$63=2,U64=U65,U65=U66),30,IF(AND($Q$63=3,U64=U65,U65=U66),20,""))))</f>
      </c>
      <c r="AB36" s="104">
        <f>IF(AA36="","",IF(AND($Q$63=1,U62=U66,U66=U64,U64=U65),120,IF(AND($Q$63=2,U62=U66,U66=U64,U64=U65),60,IF(AND($Q$63=3,U62=U66,U66=U64,U64=U65),40,""))))</f>
      </c>
      <c r="AC36" s="104">
        <f>IF(AB36="","",IF(AND($Q$63=1,$U$65=$U$64,$U$64=$U$66,$U$66=$U$62,$U$62=$U$54),120,IF(AND($Q$63=2,$U$65=$U$64,$U$64=$U$66,$U$66=$U$62,$U$62=$U$54),60,IF(AND($Q$63=3,$U$65=$U$64,$U$64=$U$66,$U$66=$U$62,$U$62=$U$54),40,""))))</f>
      </c>
      <c r="AD36" s="104">
        <f>IF(AC36="","",IF(AND($Q$63=1,$U$65=$U$64,$U$64=$U$66,$U$66=$U$62,$U$62=$U$54,$U$38=$U$54),120,IF(AND($Q$63=2,$U$65=$U$64,$U$64=$U$66,$U$66=$U$62,$U$62=$U$54,$U$38=$U$54),60,IF(AND($Q$63=3,$U$65=$U$64,$U$64=$U$66,$U$66=$U$62,$U$62=$U$54,$U$38=$U$54),40,""))))</f>
      </c>
      <c r="AE36" s="105">
        <f t="shared" si="1"/>
        <v>0</v>
      </c>
      <c r="AF36" s="41"/>
      <c r="AG36" s="93"/>
      <c r="AH36" s="93"/>
      <c r="AI36" s="93"/>
      <c r="AJ36" s="93"/>
    </row>
    <row r="37" spans="1:36" s="89" customFormat="1" ht="9" customHeight="1">
      <c r="A37" s="78">
        <v>16</v>
      </c>
      <c r="B37" s="79" t="s">
        <v>26</v>
      </c>
      <c r="C37" s="79">
        <f>IF($D37="","",VLOOKUP($D37,'[1]m glavni turnir žrebna lista'!$A$7:$R$38,2))</f>
        <v>7898</v>
      </c>
      <c r="D37" s="80">
        <v>8</v>
      </c>
      <c r="E37" s="79" t="str">
        <f>UPPER(IF($D37="","",VLOOKUP($D37,'[1]m glavni turnir žrebna lista'!$A$7:$R$38,3)))</f>
        <v>POTISK</v>
      </c>
      <c r="F37" s="79" t="str">
        <f>PROPER(IF($D37="","",VLOOKUP($D37,'[1]m glavni turnir žrebna lista'!$A$7:$R$38,4)))</f>
        <v>Gregor</v>
      </c>
      <c r="G37" s="79"/>
      <c r="H37" s="79" t="str">
        <f>IF($D37="","",VLOOKUP($D37,'[1]m glavni turnir žrebna lista'!$A$7:$R$38,5))</f>
        <v>BR-MB</v>
      </c>
      <c r="I37" s="108">
        <f>IF($D37="","",VLOOKUP($D37,'[1]m glavni turnir žrebna lista'!$A$7:$R$38,14))</f>
        <v>10</v>
      </c>
      <c r="J37" s="109"/>
      <c r="K37" s="83"/>
      <c r="L37" s="82"/>
      <c r="M37" s="116"/>
      <c r="N37" s="85"/>
      <c r="O37" s="85"/>
      <c r="P37" s="84"/>
      <c r="Q37" s="123"/>
      <c r="R37" s="88"/>
      <c r="U37" s="35">
        <f>IF($D37="","",VLOOKUP($D37,'[1]m glavni turnir žrebna lista'!$A$7:$R$38,2))</f>
        <v>7898</v>
      </c>
      <c r="V37" s="63">
        <v>31</v>
      </c>
      <c r="W37" s="63">
        <f>UPPER(IF($D67="","",VLOOKUP($D67,'[1]m glavni turnir žrebna lista'!$A$7:$R$38,3)))</f>
      </c>
      <c r="X37" s="63">
        <f>PROPER(IF($D67="","",VLOOKUP($D67,'[1]m glavni turnir žrebna lista'!$A$7:$R$38,4)))</f>
      </c>
      <c r="Y37" s="64">
        <f t="shared" si="0"/>
      </c>
      <c r="Z37" s="64">
        <f>IF(Y37="","",IF(AND($Q$63=1,U68=U67),30,IF(AND($Q$63=2,U68=U67),15,IF(AND($Q$63=3,U68=U67),10,""))))</f>
      </c>
      <c r="AA37" s="64">
        <f>IF(Z37="","",IF(AND($Q$63=1,U68=U66,U66=U67),60,IF(AND($Q$63=2,U68=U66,U66=U67),30,IF(AND($Q$63=3,U68=U66,U66=U67),20,""))))</f>
      </c>
      <c r="AB37" s="64">
        <f>IF(AA37="","",IF(AND($Q$63=1,U62=U66,U66=U68,U68=U67),120,IF(AND($Q$63=2,U62=U66,U66=U68,U68=U67),60,IF(AND($Q$63=3,U62=U66,U66=U68,U68=U67),40,""))))</f>
      </c>
      <c r="AC37" s="64">
        <f>IF(AB37="","",IF(AND($Q$63=1,$U$67=$U$68,$U$68=$U$66,$U$66=$U$62,$U$62=$U$54),120,IF(AND($Q$63=2,$U$67=$U$68,$U$68=$U$66,$U$66=$U$62,$U$62=$U$54),60,IF(AND($Q$63=3,$U$67=$U$68,$U$68=$U$66,$U$66=$U$62,$U$62=$U$54),40,""))))</f>
      </c>
      <c r="AD37" s="64">
        <f>IF(AC37="","",IF(AND($Q$63=1,$U$67=$U$68,$U$68=$U$66,$U$66=$U$62,$U$62=$U$54,$U$38=$U$54),120,IF(AND($Q$63=2,$U$67=$U$68,$U$68=$U$66,$U$66=$U$62,$U$62=$U$54,$U$38=$U$54),60,IF(AND($Q$63=3,$U$67=$U$68,$U$68=$U$66,$U$66=$U$62,$U$62=$U$54,$U$38=$U$54),40,""))))</f>
      </c>
      <c r="AE37" s="92">
        <f t="shared" si="1"/>
        <v>0</v>
      </c>
      <c r="AF37" s="41"/>
      <c r="AG37" s="93"/>
      <c r="AH37" s="93"/>
      <c r="AI37" s="93"/>
      <c r="AJ37" s="93"/>
    </row>
    <row r="38" spans="1:36" s="89" customFormat="1" ht="9" customHeight="1">
      <c r="A38" s="94"/>
      <c r="B38" s="95"/>
      <c r="C38" s="95"/>
      <c r="D38" s="95"/>
      <c r="E38" s="96"/>
      <c r="F38" s="96"/>
      <c r="G38" s="97"/>
      <c r="H38" s="96"/>
      <c r="I38" s="112"/>
      <c r="J38" s="82"/>
      <c r="K38" s="83"/>
      <c r="L38" s="82"/>
      <c r="M38" s="116"/>
      <c r="N38" s="131" t="s">
        <v>24</v>
      </c>
      <c r="O38" s="132"/>
      <c r="P38" s="100" t="str">
        <f>UPPER(IF(OR(O39="a",O39="as"),P22,IF(OR(O39="b",O39="bs"),P54,)))</f>
        <v>KULIĆ</v>
      </c>
      <c r="Q38" s="133"/>
      <c r="R38" s="88"/>
      <c r="U38" s="35">
        <f>IF(OR(O39="a",O39="as"),U22,IF(OR(O39="b",O39="bs"),U54,""))</f>
        <v>7245</v>
      </c>
      <c r="V38" s="63">
        <v>32</v>
      </c>
      <c r="W38" s="117" t="str">
        <f>UPPER(IF($D69="","",VLOOKUP($D69,'[1]m glavni turnir žrebna lista'!$A$7:$R$38,3)))</f>
        <v>PETERLIN</v>
      </c>
      <c r="X38" s="117" t="str">
        <f>PROPER(IF($D69="","",VLOOKUP($D69,'[1]m glavni turnir žrebna lista'!$A$7:$R$38,4)))</f>
        <v>Matic</v>
      </c>
      <c r="Y38" s="104">
        <f t="shared" si="0"/>
        <v>10</v>
      </c>
      <c r="Z38" s="104">
        <f>IF(Y38="","",IF(AND($Q$63=1,U69=U68),30,IF(AND($Q$63=2,U69=U68),15,IF(AND($Q$63=3,U69=U68),10,""))))</f>
        <v>10</v>
      </c>
      <c r="AA38" s="104">
        <f>IF(Z38="","",IF(AND($Q$63=1,U69=U66,U66=U68),60,IF(AND($Q$63=2,U69=U66,U66=U68),30,IF(AND($Q$63=3,U69=U66,U66=U68),20,""))))</f>
      </c>
      <c r="AB38" s="104">
        <f>IF(AA38="","",IF(AND($Q$63=1,U62=U66,U66=U68,U68=U69),120,IF(AND($Q$63=2,U62=U66,U66=U68,U68=U69),60,IF(AND($Q$63=3,U62=U66,U66=U68,U68=U69),40,""))))</f>
      </c>
      <c r="AC38" s="104">
        <f>IF(AB38="","",IF(AND($Q$63=1,$U$69=$U$68,$U$68=$U$66,$U$66=$U$62,$U$62=$U$54),120,IF(AND($Q$63=2,$U$69=$U$68,$U$68=$U$66,$U$66=$U$62,$U$62=$U$54),60,IF(AND($Q$63=3,$U$69=$U$68,$U$68=$U$66,$U$66=$U$62,$U$62=$U$54),40,""))))</f>
      </c>
      <c r="AD38" s="104">
        <f>IF(AC38="","",IF(AND($Q$63=1,$U$69=$U$68,$U$68=$U$66,$U$66=$U$62,$U$62=$U$54,$U$38=$U$54),120,IF(AND($Q$63=2,$U$69=$U$68,$U$68=$U$66,$U$66=$U$62,$U$62=$U$54,$U$38=$U$54),60,IF(AND($Q$63=3,$U$69=$U$68,$U$68=$U$66,$U$66=$U$62,$U$62=$U$54,$U$38=$U$54),40,""))))</f>
      </c>
      <c r="AE38" s="105">
        <f t="shared" si="1"/>
        <v>2</v>
      </c>
      <c r="AF38" s="41"/>
      <c r="AG38" s="93"/>
      <c r="AH38" s="93"/>
      <c r="AI38" s="93"/>
      <c r="AJ38" s="93"/>
    </row>
    <row r="39" spans="1:36" s="89" customFormat="1" ht="9" customHeight="1">
      <c r="A39" s="78">
        <v>17</v>
      </c>
      <c r="B39" s="79" t="s">
        <v>26</v>
      </c>
      <c r="C39" s="79">
        <f>IF($D39="","",VLOOKUP($D39,'[1]m glavni turnir žrebna lista'!$A$7:$R$38,2))</f>
        <v>7452</v>
      </c>
      <c r="D39" s="80">
        <v>6</v>
      </c>
      <c r="E39" s="79" t="str">
        <f>UPPER(IF($D39="","",VLOOKUP($D39,'[1]m glavni turnir žrebna lista'!$A$7:$R$38,3)))</f>
        <v>RUTAR</v>
      </c>
      <c r="F39" s="79" t="str">
        <f>PROPER(IF($D39="","",VLOOKUP($D39,'[1]m glavni turnir žrebna lista'!$A$7:$R$38,4)))</f>
        <v>Matic</v>
      </c>
      <c r="G39" s="79"/>
      <c r="H39" s="79" t="str">
        <f>IF($D39="","",VLOOKUP($D39,'[1]m glavni turnir žrebna lista'!$A$7:$R$38,5))</f>
        <v>RADOM</v>
      </c>
      <c r="I39" s="81">
        <f>IF($D39="","",VLOOKUP($D39,'[1]m glavni turnir žrebna lista'!$A$7:$R$38,14))</f>
        <v>10</v>
      </c>
      <c r="J39" s="82"/>
      <c r="K39" s="83"/>
      <c r="L39" s="82"/>
      <c r="M39" s="116"/>
      <c r="N39" s="98" t="s">
        <v>27</v>
      </c>
      <c r="O39" s="134" t="s">
        <v>28</v>
      </c>
      <c r="P39" s="109" t="s">
        <v>40</v>
      </c>
      <c r="Q39" s="123"/>
      <c r="R39" s="88"/>
      <c r="U39" s="35">
        <f>IF($D39="","",VLOOKUP($D39,'[1]m glavni turnir žrebna lista'!$A$7:$R$38,2))</f>
        <v>7452</v>
      </c>
      <c r="V39" s="93"/>
      <c r="W39" s="93"/>
      <c r="X39" s="93"/>
      <c r="Y39" s="39">
        <f>COUNTIF(Y7:Y38,"&gt;0")</f>
        <v>18</v>
      </c>
      <c r="Z39" s="39">
        <f aca="true" t="shared" si="2" ref="Z39:AE39">COUNTIF(Z7:Z38,"&gt;0")</f>
        <v>16</v>
      </c>
      <c r="AA39" s="39">
        <f t="shared" si="2"/>
        <v>8</v>
      </c>
      <c r="AB39" s="39">
        <f t="shared" si="2"/>
        <v>4</v>
      </c>
      <c r="AC39" s="39">
        <f t="shared" si="2"/>
        <v>2</v>
      </c>
      <c r="AD39" s="39">
        <f t="shared" si="2"/>
        <v>1</v>
      </c>
      <c r="AE39" s="39">
        <f t="shared" si="2"/>
        <v>18</v>
      </c>
      <c r="AF39" s="41"/>
      <c r="AG39" s="93"/>
      <c r="AH39" s="93"/>
      <c r="AI39" s="93"/>
      <c r="AJ39" s="93"/>
    </row>
    <row r="40" spans="1:36" s="89" customFormat="1" ht="9" customHeight="1">
      <c r="A40" s="94"/>
      <c r="B40" s="95"/>
      <c r="C40" s="95"/>
      <c r="D40" s="95"/>
      <c r="E40" s="96"/>
      <c r="F40" s="96"/>
      <c r="G40" s="97"/>
      <c r="H40" s="98" t="s">
        <v>27</v>
      </c>
      <c r="I40" s="99" t="s">
        <v>28</v>
      </c>
      <c r="J40" s="100" t="str">
        <f>UPPER(IF(OR(I40="a",I40="as"),E39,IF(OR(I40="b",I40="bs"),E41,)))</f>
        <v>RUTAR</v>
      </c>
      <c r="K40" s="101">
        <f>IF(OR(I40="a",I40="as"),I39,IF(OR(I40="b",I40="bs"),I41,))</f>
        <v>10</v>
      </c>
      <c r="L40" s="82"/>
      <c r="M40" s="116"/>
      <c r="N40" s="84"/>
      <c r="O40" s="85"/>
      <c r="P40" s="84"/>
      <c r="Q40" s="123"/>
      <c r="R40" s="88"/>
      <c r="U40" s="35">
        <f>IF(OR(I40="a",I40="as"),C39,IF(OR(I40="b",I40="bs"),C41,""))</f>
        <v>7452</v>
      </c>
      <c r="V40" s="93"/>
      <c r="W40" s="93"/>
      <c r="X40" s="93"/>
      <c r="Y40" s="93"/>
      <c r="Z40" s="93"/>
      <c r="AA40" s="93"/>
      <c r="AB40" s="93"/>
      <c r="AC40" s="93"/>
      <c r="AD40" s="93"/>
      <c r="AE40" s="93"/>
      <c r="AF40" s="41"/>
      <c r="AG40" s="93"/>
      <c r="AH40" s="93"/>
      <c r="AI40" s="93"/>
      <c r="AJ40" s="93"/>
    </row>
    <row r="41" spans="1:36" s="89" customFormat="1" ht="9" customHeight="1">
      <c r="A41" s="94">
        <v>18</v>
      </c>
      <c r="B41" s="106">
        <f>IF($D41="","",VLOOKUP($D41,'[1]m glavni turnir žrebna lista'!$A$7:$R$38,17))</f>
      </c>
      <c r="C41" s="106">
        <f>IF($D41="","",VLOOKUP($D41,'[1]m glavni turnir žrebna lista'!$A$7:$R$38,2))</f>
      </c>
      <c r="D41" s="80"/>
      <c r="E41" s="107" t="s">
        <v>29</v>
      </c>
      <c r="F41" s="107">
        <f>PROPER(IF($D41="","",VLOOKUP($D41,'[1]m glavni turnir žrebna lista'!$A$7:$R$38,4)))</f>
      </c>
      <c r="G41" s="107"/>
      <c r="H41" s="107">
        <f>IF($D41="","",VLOOKUP($D41,'[1]m glavni turnir žrebna lista'!$A$7:$R$38,5))</f>
      </c>
      <c r="I41" s="108">
        <f>IF($D41="","",VLOOKUP($D41,'[1]m glavni turnir žrebna lista'!$A$7:$R$38,14))</f>
      </c>
      <c r="J41" s="109"/>
      <c r="K41" s="110"/>
      <c r="L41" s="82"/>
      <c r="M41" s="116"/>
      <c r="N41" s="84"/>
      <c r="O41" s="85"/>
      <c r="P41" s="84"/>
      <c r="Q41" s="123"/>
      <c r="R41" s="88"/>
      <c r="U41" s="35">
        <f>IF($D41="","",VLOOKUP($D41,'[1]m glavni turnir žrebna lista'!$A$7:$R$38,2))</f>
      </c>
      <c r="V41" s="135" t="s">
        <v>41</v>
      </c>
      <c r="W41" s="135"/>
      <c r="X41" s="135"/>
      <c r="Y41" s="135"/>
      <c r="Z41" s="135"/>
      <c r="AA41" s="136"/>
      <c r="AB41" s="136"/>
      <c r="AC41" s="136"/>
      <c r="AD41" s="136"/>
      <c r="AE41" s="137"/>
      <c r="AF41" s="138"/>
      <c r="AG41" s="139" t="s">
        <v>42</v>
      </c>
      <c r="AH41" s="138"/>
      <c r="AI41" s="138"/>
      <c r="AJ41" s="138"/>
    </row>
    <row r="42" spans="1:36" s="89" customFormat="1" ht="9" customHeight="1">
      <c r="A42" s="94"/>
      <c r="B42" s="95"/>
      <c r="C42" s="95"/>
      <c r="D42" s="111"/>
      <c r="E42" s="96"/>
      <c r="F42" s="96"/>
      <c r="G42" s="97"/>
      <c r="H42" s="96"/>
      <c r="I42" s="112"/>
      <c r="J42" s="98" t="s">
        <v>27</v>
      </c>
      <c r="K42" s="113" t="s">
        <v>33</v>
      </c>
      <c r="L42" s="100" t="str">
        <f>UPPER(IF(OR(K42="a",K42="as"),J40,IF(OR(K42="b",K42="bs"),J44,)))</f>
        <v>JUSTIN</v>
      </c>
      <c r="M42" s="114">
        <f>IF(OR(K42="a",K42="as"),K40,IF(OR(K42="b",K42="bs"),K44,))</f>
        <v>10</v>
      </c>
      <c r="N42" s="84"/>
      <c r="O42" s="85"/>
      <c r="P42" s="84"/>
      <c r="Q42" s="123"/>
      <c r="R42" s="88"/>
      <c r="U42" s="35">
        <f>IF(OR(K42="a",K42="as"),U40,IF(OR(K42="b",K42="bs"),U44,""))</f>
        <v>6863</v>
      </c>
      <c r="V42" s="138"/>
      <c r="W42" s="140"/>
      <c r="X42" s="141"/>
      <c r="Y42" s="136"/>
      <c r="Z42" s="136"/>
      <c r="AA42" s="136"/>
      <c r="AB42" s="136"/>
      <c r="AC42" s="136"/>
      <c r="AD42" s="136"/>
      <c r="AE42" s="137"/>
      <c r="AF42" s="138"/>
      <c r="AG42" s="138"/>
      <c r="AH42" s="138"/>
      <c r="AI42" s="138"/>
      <c r="AJ42" s="138"/>
    </row>
    <row r="43" spans="1:36" s="89" customFormat="1" ht="9" customHeight="1">
      <c r="A43" s="94">
        <v>19</v>
      </c>
      <c r="B43" s="106" t="s">
        <v>26</v>
      </c>
      <c r="C43" s="106">
        <f>IF($D43="","",VLOOKUP($D43,'[1]m glavni turnir žrebna lista'!$A$7:$R$38,2))</f>
        <v>6863</v>
      </c>
      <c r="D43" s="80">
        <v>9</v>
      </c>
      <c r="E43" s="107" t="str">
        <f>UPPER(IF($D43="","",VLOOKUP($D43,'[1]m glavni turnir žrebna lista'!$A$7:$R$38,3)))</f>
        <v>JUSTIN</v>
      </c>
      <c r="F43" s="107" t="str">
        <f>PROPER(IF($D43="","",VLOOKUP($D43,'[1]m glavni turnir žrebna lista'!$A$7:$R$38,4)))</f>
        <v>Urh</v>
      </c>
      <c r="G43" s="107"/>
      <c r="H43" s="107" t="str">
        <f>IF($D43="","",VLOOKUP($D43,'[1]m glavni turnir žrebna lista'!$A$7:$R$38,5))</f>
        <v>TOPOL</v>
      </c>
      <c r="I43" s="81">
        <f>IF($D43="","",VLOOKUP($D43,'[1]m glavni turnir žrebna lista'!$A$7:$R$38,14))</f>
        <v>10</v>
      </c>
      <c r="J43" s="82"/>
      <c r="K43" s="118"/>
      <c r="L43" s="109" t="s">
        <v>43</v>
      </c>
      <c r="M43" s="119"/>
      <c r="N43" s="84"/>
      <c r="O43" s="85"/>
      <c r="P43" s="84"/>
      <c r="Q43" s="123"/>
      <c r="R43" s="88"/>
      <c r="U43" s="35">
        <f>IF($D43="","",VLOOKUP($D43,'[1]m glavni turnir žrebna lista'!$A$7:$R$38,2))</f>
        <v>6863</v>
      </c>
      <c r="V43" s="142" t="s">
        <v>20</v>
      </c>
      <c r="W43" s="140" t="s">
        <v>14</v>
      </c>
      <c r="X43" s="140" t="s">
        <v>15</v>
      </c>
      <c r="Y43" s="136" t="s">
        <v>21</v>
      </c>
      <c r="Z43" s="136" t="s">
        <v>22</v>
      </c>
      <c r="AA43" s="136" t="s">
        <v>17</v>
      </c>
      <c r="AB43" s="136" t="s">
        <v>18</v>
      </c>
      <c r="AC43" s="136" t="s">
        <v>19</v>
      </c>
      <c r="AD43" s="136"/>
      <c r="AE43" s="143" t="s">
        <v>25</v>
      </c>
      <c r="AF43" s="138"/>
      <c r="AG43" s="140" t="s">
        <v>14</v>
      </c>
      <c r="AH43" s="140" t="s">
        <v>15</v>
      </c>
      <c r="AI43" s="140" t="s">
        <v>5</v>
      </c>
      <c r="AJ43" s="139" t="s">
        <v>25</v>
      </c>
    </row>
    <row r="44" spans="1:36" s="89" customFormat="1" ht="9" customHeight="1">
      <c r="A44" s="94"/>
      <c r="B44" s="95"/>
      <c r="C44" s="95"/>
      <c r="D44" s="111"/>
      <c r="E44" s="96"/>
      <c r="F44" s="96"/>
      <c r="G44" s="97"/>
      <c r="H44" s="98" t="s">
        <v>27</v>
      </c>
      <c r="I44" s="99" t="s">
        <v>28</v>
      </c>
      <c r="J44" s="100" t="str">
        <f>UPPER(IF(OR(I44="a",I44="as"),E43,IF(OR(I44="b",I44="bs"),E45,)))</f>
        <v>JUSTIN</v>
      </c>
      <c r="K44" s="120">
        <f>IF(OR(I44="a",I44="as"),I43,IF(OR(I44="b",I44="bs"),I45,))</f>
        <v>10</v>
      </c>
      <c r="L44" s="82"/>
      <c r="M44" s="119"/>
      <c r="N44" s="84"/>
      <c r="O44" s="85"/>
      <c r="P44" s="84"/>
      <c r="Q44" s="123"/>
      <c r="R44" s="88"/>
      <c r="S44" s="144"/>
      <c r="T44" s="145"/>
      <c r="U44" s="146">
        <f>IF(OR(I44="a",I44="as"),C43,IF(OR(I44="b",I44="bs"),C45,""))</f>
        <v>6863</v>
      </c>
      <c r="V44" s="140"/>
      <c r="W44" s="140"/>
      <c r="X44" s="140"/>
      <c r="Y44" s="136"/>
      <c r="Z44" s="136"/>
      <c r="AA44" s="136"/>
      <c r="AB44" s="136"/>
      <c r="AC44" s="136"/>
      <c r="AD44" s="136"/>
      <c r="AE44" s="147"/>
      <c r="AF44" s="138"/>
      <c r="AG44" s="138"/>
      <c r="AH44" s="138"/>
      <c r="AI44" s="138"/>
      <c r="AJ44" s="148"/>
    </row>
    <row r="45" spans="1:36" s="89" customFormat="1" ht="9" customHeight="1">
      <c r="A45" s="94">
        <v>20</v>
      </c>
      <c r="B45" s="106">
        <f>IF($D45="","",VLOOKUP($D45,'[1]m glavni turnir žrebna lista'!$A$7:$R$38,17))</f>
      </c>
      <c r="C45" s="106">
        <f>IF($D45="","",VLOOKUP($D45,'[1]m glavni turnir žrebna lista'!$A$7:$R$38,2))</f>
      </c>
      <c r="D45" s="80"/>
      <c r="E45" s="107" t="s">
        <v>29</v>
      </c>
      <c r="F45" s="107">
        <f>PROPER(IF($D45="","",VLOOKUP($D45,'[1]m glavni turnir žrebna lista'!$A$7:$R$38,4)))</f>
      </c>
      <c r="G45" s="107"/>
      <c r="H45" s="107">
        <f>IF($D45="","",VLOOKUP($D45,'[1]m glavni turnir žrebna lista'!$A$7:$R$38,5))</f>
      </c>
      <c r="I45" s="108">
        <f>IF($D45="","",VLOOKUP($D45,'[1]m glavni turnir žrebna lista'!$A$7:$R$38,14))</f>
      </c>
      <c r="J45" s="109"/>
      <c r="K45" s="83"/>
      <c r="L45" s="82"/>
      <c r="M45" s="119"/>
      <c r="N45" s="84"/>
      <c r="O45" s="85"/>
      <c r="P45" s="84"/>
      <c r="Q45" s="123"/>
      <c r="R45" s="88"/>
      <c r="S45" s="145"/>
      <c r="T45" s="145"/>
      <c r="U45" s="146">
        <f>IF($D45="","",VLOOKUP($D45,'[1]m glavni turnir žrebna lista'!$A$7:$R$38,2))</f>
      </c>
      <c r="V45" s="140">
        <v>1</v>
      </c>
      <c r="W45" s="149" t="str">
        <f>UPPER(IF($D$7="","",VLOOKUP($D$7,'[1]m glavni turnir žrebna lista'!$A$7:$R$38,3)))</f>
        <v>BEZJAK </v>
      </c>
      <c r="X45" s="140" t="str">
        <f>PROPER(IF($D$7="","",VLOOKUP($D$7,'[1]m glavni turnir žrebna lista'!$A$7:$R$38,4)))</f>
        <v>Blaž</v>
      </c>
      <c r="Y45" s="150" t="str">
        <f>IF($W$45="","",IF($U$7&lt;&gt;$U$8,"",IF($J$9="bb",1,IF($J$9="","0",$I$9))))</f>
        <v>0</v>
      </c>
      <c r="Z45" s="136">
        <f>IF($W$45="","",IF($U$10&lt;&gt;$U$7,"",IF($L$11="bb",1,IF($L$11="","0",$K$12))))</f>
        <v>10</v>
      </c>
      <c r="AA45" s="150">
        <f>IF($W$45="","",IF($U$14&lt;&gt;$U$7,"",IF($N$15="bb",1,IF($N$15="","0",$M$18))))</f>
      </c>
      <c r="AB45" s="150">
        <f>IF($W$45="","",IF($U$22&lt;&gt;$U$7,"",IF($P$23="bb",1,IF($P$23="","0",$O$30))))</f>
      </c>
      <c r="AC45" s="151">
        <f>IF($W$45="","",IF($U$38&lt;&gt;$U$7,"",IF($P$39="bb",1,IF($P$39="","0",$Q$54))))</f>
      </c>
      <c r="AD45" s="136"/>
      <c r="AE45" s="147">
        <f>IF($C$2="B turnir",SUM(Y45:AD45)*0.1,SUM(Y45:AD45))</f>
        <v>1</v>
      </c>
      <c r="AF45" s="138">
        <f>IF($C7="","",'m glavni 32'!$C$7)</f>
        <v>7700</v>
      </c>
      <c r="AG45" s="140" t="str">
        <f>UPPER(IF($D$7="","",VLOOKUP($D$7,'[1]m glavni turnir žrebna lista'!$A$7:$R$38,3)))</f>
        <v>BEZJAK </v>
      </c>
      <c r="AH45" s="140" t="str">
        <f>PROPER(IF($D$7="","",VLOOKUP($D$7,'[1]m glavni turnir žrebna lista'!$A$7:$R$38,4)))</f>
        <v>Blaž</v>
      </c>
      <c r="AI45" s="140" t="str">
        <f>UPPER(IF($D$7="","",VLOOKUP($D$7,'[1]m glavni turnir žrebna lista'!$A$7:$R$38,5)))</f>
        <v>PTUJ</v>
      </c>
      <c r="AJ45" s="147">
        <f>SUM(AE7,AE45)</f>
        <v>5</v>
      </c>
    </row>
    <row r="46" spans="1:36" s="89" customFormat="1" ht="9" customHeight="1">
      <c r="A46" s="94"/>
      <c r="B46" s="95"/>
      <c r="C46" s="95"/>
      <c r="D46" s="111"/>
      <c r="E46" s="82"/>
      <c r="F46" s="82"/>
      <c r="G46" s="121"/>
      <c r="H46" s="122"/>
      <c r="I46" s="112"/>
      <c r="J46" s="82"/>
      <c r="K46" s="83"/>
      <c r="L46" s="98" t="s">
        <v>27</v>
      </c>
      <c r="M46" s="113" t="s">
        <v>35</v>
      </c>
      <c r="N46" s="100" t="str">
        <f>UPPER(IF(OR(M46="a",M46="as"),L42,IF(OR(M46="b",M46="bs"),L50,)))</f>
        <v>JUSTIN</v>
      </c>
      <c r="O46" s="152">
        <f>IF(OR(M46="a",M46="as"),M42,IF(OR(M46="b",M46="bs"),M50,))</f>
        <v>10</v>
      </c>
      <c r="P46" s="84"/>
      <c r="Q46" s="123"/>
      <c r="R46" s="88"/>
      <c r="S46" s="153"/>
      <c r="T46" s="145"/>
      <c r="U46" s="146">
        <f>IF(OR(M46="a",M46="as"),U42,IF(OR(M46="b",M46="bs"),U50,""))</f>
        <v>6863</v>
      </c>
      <c r="V46" s="140">
        <v>2</v>
      </c>
      <c r="W46" s="140">
        <f>UPPER(IF($D$9="","",VLOOKUP($D$9,'[1]m glavni turnir žrebna lista'!$A$7:$R$38,3)))</f>
      </c>
      <c r="X46" s="140">
        <f>PROPER(IF($D$9="","",VLOOKUP($D$9,'[1]m glavni turnir žrebna lista'!$A$7:$R$38,4)))</f>
      </c>
      <c r="Y46" s="136">
        <f>IF(W46="","",IF($U$9&lt;&gt;$U$8,"",IF($J$9="bb",1,IF($J$9="","0",$I$7))))</f>
      </c>
      <c r="Z46" s="136">
        <f>IF($W$45="","",IF($U$10&lt;&gt;$U$9,"",IF($L$11="bb",1,IF($L$11="","0",$K$12))))</f>
      </c>
      <c r="AA46" s="136">
        <f>IF($W$45="","",IF($U$14&lt;&gt;$U$9,"",IF($N$15="bb",1,IF($N$15="","0",$M$18))))</f>
      </c>
      <c r="AB46" s="136">
        <f>IF($W$45="","",IF($U$22&lt;&gt;$U$9,"",IF($P$23="bb",1,IF($P$23="","0",$O$30))))</f>
      </c>
      <c r="AC46" s="136">
        <f>IF($W$45="","",IF($U$38&lt;&gt;$U$9,"",IF($P$39="bb",1,IF($P$39="","0",$Q$54))))</f>
      </c>
      <c r="AD46" s="136"/>
      <c r="AE46" s="147">
        <f aca="true" t="shared" si="3" ref="AE46:AE76">IF($C$2="B turnir",SUM(Y46:AD46)*0.1,SUM(Y46:AD46))</f>
        <v>0</v>
      </c>
      <c r="AF46" s="138">
        <f>IF($C9="","",'m glavni 32'!$C$9)</f>
      </c>
      <c r="AG46" s="140">
        <f>UPPER(IF($D$9="","",VLOOKUP($D$9,'[1]m glavni turnir žrebna lista'!$A$7:$R$38,3)))</f>
      </c>
      <c r="AH46" s="140">
        <f>PROPER(IF($D$9="","",VLOOKUP($D$9,'[1]m glavni turnir žrebna lista'!$A$7:$R$38,4)))</f>
      </c>
      <c r="AI46" s="140">
        <f>UPPER(IF($D$9="","",VLOOKUP($D$9,'[1]m glavni turnir žrebna lista'!$A$7:$R$38,5)))</f>
      </c>
      <c r="AJ46" s="147">
        <f>SUM(AE8,AE46)</f>
        <v>0</v>
      </c>
    </row>
    <row r="47" spans="1:36" s="89" customFormat="1" ht="9" customHeight="1">
      <c r="A47" s="94">
        <v>21</v>
      </c>
      <c r="B47" s="106" t="s">
        <v>26</v>
      </c>
      <c r="C47" s="106">
        <f>IF($D47="","",VLOOKUP($D47,'[1]m glavni turnir žrebna lista'!$A$7:$R$38,2))</f>
        <v>7783</v>
      </c>
      <c r="D47" s="80">
        <v>16</v>
      </c>
      <c r="E47" s="107" t="str">
        <f>UPPER(IF($D47="","",VLOOKUP($D47,'[1]m glavni turnir žrebna lista'!$A$7:$R$38,3)))</f>
        <v>KOŠTOMAJ</v>
      </c>
      <c r="F47" s="107" t="str">
        <f>PROPER(IF($D47="","",VLOOKUP($D47,'[1]m glavni turnir žrebna lista'!$A$7:$R$38,4)))</f>
        <v>Klemen</v>
      </c>
      <c r="G47" s="107"/>
      <c r="H47" s="107" t="str">
        <f>IF($D47="","",VLOOKUP($D47,'[1]m glavni turnir žrebna lista'!$A$7:$R$38,5))</f>
        <v>JEZER</v>
      </c>
      <c r="I47" s="81">
        <f>IF($D47="","",VLOOKUP($D47,'[1]m glavni turnir žrebna lista'!$A$7:$R$38,14))</f>
        <v>10</v>
      </c>
      <c r="J47" s="82"/>
      <c r="K47" s="83"/>
      <c r="L47" s="82"/>
      <c r="M47" s="119"/>
      <c r="N47" s="109" t="s">
        <v>38</v>
      </c>
      <c r="O47" s="123"/>
      <c r="P47" s="84"/>
      <c r="Q47" s="123"/>
      <c r="R47" s="88"/>
      <c r="S47" s="154"/>
      <c r="T47" s="145"/>
      <c r="U47" s="146">
        <f>IF($D47="","",VLOOKUP($D47,'[1]m glavni turnir žrebna lista'!$A$7:$R$38,2))</f>
        <v>7783</v>
      </c>
      <c r="V47" s="140">
        <v>3</v>
      </c>
      <c r="W47" s="140" t="str">
        <f>UPPER(IF($D$11="","",VLOOKUP($D$11,'[1]m glavni turnir žrebna lista'!$A$7:$R$38,3)))</f>
        <v>SPOLENAK</v>
      </c>
      <c r="X47" s="140" t="str">
        <f>PROPER(IF($D$11="","",VLOOKUP($D$11,'[1]m glavni turnir žrebna lista'!$A$7:$R$38,4)))</f>
        <v>Žan</v>
      </c>
      <c r="Y47" s="136" t="str">
        <f>IF(W47="","",IF($U$11&lt;&gt;$U$12,"",IF($J$13="bb",1,IF($J$13="","0",$I$13))))</f>
        <v>0</v>
      </c>
      <c r="Z47" s="136">
        <f>IF($W$45="","",IF($U$10&lt;&gt;$U$11,"",IF($L$11="bb",1,IF($L$11="","0",$K$8))))</f>
      </c>
      <c r="AA47" s="136">
        <f>IF($W$45="","",IF($U$14&lt;&gt;$U$11,"",IF($N$15="bb",1,IF($N$15="","0",$M$18))))</f>
      </c>
      <c r="AB47" s="136">
        <f>IF($W$45="","",IF($U$22&lt;&gt;$U11,"",IF($P$23="bb",1,IF($P$23="","0",$O$30))))</f>
      </c>
      <c r="AC47" s="136">
        <f>IF($W$45="","",IF($U$38&lt;&gt;$U$11,"",IF($P$39="bb",1,IF($P$39="","0",$Q$54))))</f>
      </c>
      <c r="AD47" s="136"/>
      <c r="AE47" s="147">
        <f t="shared" si="3"/>
        <v>0</v>
      </c>
      <c r="AF47" s="138">
        <f>IF($C11="","",'m glavni 32'!$C$11)</f>
        <v>7869</v>
      </c>
      <c r="AG47" s="140" t="str">
        <f>UPPER(IF($D$11="","",VLOOKUP($D$11,'[1]m glavni turnir žrebna lista'!$A$7:$R$38,3)))</f>
        <v>SPOLENAK</v>
      </c>
      <c r="AH47" s="140" t="str">
        <f>PROPER(IF($D$11="","",VLOOKUP($D$11,'[1]m glavni turnir žrebna lista'!$A$7:$R$38,4)))</f>
        <v>Žan</v>
      </c>
      <c r="AI47" s="140" t="str">
        <f>UPPER(IF($D$11="","",VLOOKUP($D$11,'[1]m glavni turnir žrebna lista'!$A$7:$R$38,5)))</f>
        <v>CELJE</v>
      </c>
      <c r="AJ47" s="147">
        <f aca="true" t="shared" si="4" ref="AJ47:AJ76">SUM(AE9,AE47)</f>
        <v>2</v>
      </c>
    </row>
    <row r="48" spans="1:36" s="89" customFormat="1" ht="9" customHeight="1">
      <c r="A48" s="94"/>
      <c r="B48" s="95"/>
      <c r="C48" s="95"/>
      <c r="D48" s="111"/>
      <c r="E48" s="96"/>
      <c r="F48" s="96"/>
      <c r="G48" s="97"/>
      <c r="H48" s="98" t="s">
        <v>27</v>
      </c>
      <c r="I48" s="99" t="s">
        <v>28</v>
      </c>
      <c r="J48" s="100" t="str">
        <f>UPPER(IF(OR(I48="a",I48="as"),E47,IF(OR(I48="b",I48="bs"),E49,)))</f>
        <v>KOŠTOMAJ</v>
      </c>
      <c r="K48" s="101">
        <f>IF(OR(I48="a",I48="as"),I47,IF(OR(I48="b",I48="bs"),I49,))</f>
        <v>10</v>
      </c>
      <c r="L48" s="82"/>
      <c r="M48" s="119"/>
      <c r="N48" s="84"/>
      <c r="O48" s="123"/>
      <c r="P48" s="84"/>
      <c r="Q48" s="123"/>
      <c r="R48" s="88"/>
      <c r="S48" s="154"/>
      <c r="T48" s="145"/>
      <c r="U48" s="146">
        <f>IF(OR(I48="a",I48="as"),C47,IF(OR(I48="b",I48="bs"),C49,""))</f>
        <v>7783</v>
      </c>
      <c r="V48" s="140">
        <v>4</v>
      </c>
      <c r="W48" s="140">
        <f>UPPER(IF($D$13="","",VLOOKUP($D$13,'[1]m glavni turnir žrebna lista'!$A$7:$R$38,3)))</f>
      </c>
      <c r="X48" s="140">
        <f>PROPER(IF($D$13="","",VLOOKUP($D$13,'[1]m glavni turnir žrebna lista'!$A$7:$R$38,4)))</f>
      </c>
      <c r="Y48" s="136">
        <f>IF(W48="","",IF($U$12&lt;&gt;$U$13,"",IF($J$13="bb",1,IF($J$13="","0",$I$11))))</f>
      </c>
      <c r="Z48" s="136">
        <f>IF($W$45="","",IF($U$10&lt;&gt;$U$13,"",IF($L$11="bb",1,IF($L$11="","0",$K$8))))</f>
      </c>
      <c r="AA48" s="136">
        <f>IF($W$45="","",IF($U$14&lt;&gt;$U$13,"",IF($N$15="bb",1,IF($N$15="","0",$M$18))))</f>
      </c>
      <c r="AB48" s="136">
        <f>IF($W$45="","",IF($U$22&lt;&gt;$U$13,"",IF($P$23="bb",1,IF($P$23="","0",$O$30))))</f>
      </c>
      <c r="AC48" s="136">
        <f>IF($W$45="","",IF($U$38&lt;&gt;$U$13,"",IF($P$39="bb",1,IF($P$39="","0",$Q$54))))</f>
      </c>
      <c r="AD48" s="136"/>
      <c r="AE48" s="147">
        <f t="shared" si="3"/>
        <v>0</v>
      </c>
      <c r="AF48" s="138">
        <f>IF($C13="","",'m glavni 32'!$C$13)</f>
      </c>
      <c r="AG48" s="140">
        <f>UPPER(IF($D$13="","",VLOOKUP($D$13,'[1]m glavni turnir žrebna lista'!$A$7:$R$38,3)))</f>
      </c>
      <c r="AH48" s="140">
        <f>PROPER(IF($D$13="","",VLOOKUP($D$13,'[1]m glavni turnir žrebna lista'!$A$7:$R$38,4)))</f>
      </c>
      <c r="AI48" s="140">
        <f>UPPER(IF($D$13="","",VLOOKUP($D$13,'[1]m glavni turnir žrebna lista'!$A$7:$R$38,5)))</f>
      </c>
      <c r="AJ48" s="147">
        <f t="shared" si="4"/>
        <v>0</v>
      </c>
    </row>
    <row r="49" spans="1:36" s="89" customFormat="1" ht="9" customHeight="1">
      <c r="A49" s="94">
        <v>22</v>
      </c>
      <c r="B49" s="106">
        <f>IF($D49="","",VLOOKUP($D49,'[1]m glavni turnir žrebna lista'!$A$7:$R$38,17))</f>
      </c>
      <c r="C49" s="106">
        <f>IF($D49="","",VLOOKUP($D49,'[1]m glavni turnir žrebna lista'!$A$7:$R$38,2))</f>
      </c>
      <c r="D49" s="80"/>
      <c r="E49" s="107" t="s">
        <v>29</v>
      </c>
      <c r="F49" s="107">
        <f>PROPER(IF($D49="","",VLOOKUP($D49,'[1]m glavni turnir žrebna lista'!$A$7:$R$38,4)))</f>
      </c>
      <c r="G49" s="107"/>
      <c r="H49" s="107">
        <f>IF($D49="","",VLOOKUP($D49,'[1]m glavni turnir žrebna lista'!$A$7:$R$38,5))</f>
      </c>
      <c r="I49" s="108">
        <f>IF($D49="","",VLOOKUP($D49,'[1]m glavni turnir žrebna lista'!$A$7:$R$38,14))</f>
      </c>
      <c r="J49" s="109"/>
      <c r="K49" s="110"/>
      <c r="L49" s="82"/>
      <c r="M49" s="119"/>
      <c r="N49" s="84"/>
      <c r="O49" s="123"/>
      <c r="P49" s="84"/>
      <c r="Q49" s="123"/>
      <c r="R49" s="88"/>
      <c r="S49" s="154"/>
      <c r="T49" s="145"/>
      <c r="U49" s="146">
        <f>IF($D49="","",VLOOKUP($D49,'[1]m glavni turnir žrebna lista'!$A$7:$R$38,2))</f>
      </c>
      <c r="V49" s="140">
        <v>5</v>
      </c>
      <c r="W49" s="140" t="str">
        <f>UPPER(IF($D$15="","",VLOOKUP($D$15,'[1]m glavni turnir žrebna lista'!$A$7:$R$38,3)))</f>
        <v>JUVAN</v>
      </c>
      <c r="X49" s="140" t="str">
        <f>PROPER(IF($D$15="","",VLOOKUP($D$15,'[1]m glavni turnir žrebna lista'!$A$7:$R$38,4)))</f>
        <v>Mark</v>
      </c>
      <c r="Y49" s="136" t="str">
        <f>IF(W49="","",IF($U$16&lt;&gt;$U$15,"",IF($J$17="bb",1,IF($J$17="","0",$I$17))))</f>
        <v>0</v>
      </c>
      <c r="Z49" s="136">
        <f>IF($W$45="","",IF($U$18&lt;&gt;$U$15,"",IF($L$19="bb",1,IF($L$19="","0",$K$20))))</f>
      </c>
      <c r="AA49" s="136">
        <f>IF($W$45="","",IF($U$14&lt;&gt;$U$15,"",IF($N$15="bb",1,IF($N$15="","0",$M$10))))</f>
      </c>
      <c r="AB49" s="136">
        <f>IF($W$45="","",IF($U$22&lt;&gt;$U$15,"",IF($P$23="bb",1,IF($P$23="","0",$O$30))))</f>
      </c>
      <c r="AC49" s="136">
        <f>IF($W$45="","",IF($U$38&lt;&gt;$U$15,"",IF($P$39="bb",1,IF($P$39="","0",$Q$54))))</f>
      </c>
      <c r="AD49" s="136"/>
      <c r="AE49" s="147">
        <f t="shared" si="3"/>
        <v>0</v>
      </c>
      <c r="AF49" s="138">
        <f>IF($C15="","",'m glavni 32'!$C$15)</f>
        <v>6828</v>
      </c>
      <c r="AG49" s="140" t="str">
        <f>UPPER(IF($D$15="","",VLOOKUP($D$15,'[1]m glavni turnir žrebna lista'!$A$7:$R$38,3)))</f>
        <v>JUVAN</v>
      </c>
      <c r="AH49" s="140" t="str">
        <f>PROPER(IF($D$15="","",VLOOKUP($D$15,'[1]m glavni turnir žrebna lista'!$A$7:$R$38,4)))</f>
        <v>Mark</v>
      </c>
      <c r="AI49" s="140" t="str">
        <f>UPPER(IF($D$15="","",VLOOKUP($D$15,'[1]m glavni turnir žrebna lista'!$A$7:$R$38,5)))</f>
        <v>ŠPLUS</v>
      </c>
      <c r="AJ49" s="147">
        <f t="shared" si="4"/>
        <v>2</v>
      </c>
    </row>
    <row r="50" spans="1:36" s="89" customFormat="1" ht="9" customHeight="1">
      <c r="A50" s="94"/>
      <c r="B50" s="95"/>
      <c r="C50" s="95"/>
      <c r="D50" s="111"/>
      <c r="E50" s="96"/>
      <c r="F50" s="96"/>
      <c r="G50" s="97"/>
      <c r="H50" s="82"/>
      <c r="I50" s="112"/>
      <c r="J50" s="98" t="s">
        <v>27</v>
      </c>
      <c r="K50" s="113" t="s">
        <v>33</v>
      </c>
      <c r="L50" s="100" t="str">
        <f>UPPER(IF(OR(K50="a",K50="as"),J48,IF(OR(K50="b",K50="bs"),J52,)))</f>
        <v>CAF</v>
      </c>
      <c r="M50" s="125">
        <f>IF(OR(K50="a",K50="as"),K48,IF(OR(K50="b",K50="bs"),K52,))</f>
        <v>10</v>
      </c>
      <c r="N50" s="84"/>
      <c r="O50" s="123"/>
      <c r="P50" s="84"/>
      <c r="Q50" s="123"/>
      <c r="R50" s="88"/>
      <c r="S50" s="154"/>
      <c r="T50" s="145"/>
      <c r="U50" s="146">
        <f>IF(OR(K50="a",K50="as"),U48,IF(OR(K50="b",K50="bs"),U52,""))</f>
        <v>7349</v>
      </c>
      <c r="V50" s="140">
        <v>6</v>
      </c>
      <c r="W50" s="140">
        <f>UPPER(IF($D$17="","",VLOOKUP($D$17,'[1]m glavni turnir žrebna lista'!$A$7:$R$38,3)))</f>
      </c>
      <c r="X50" s="140">
        <f>PROPER(IF($D$17="","",VLOOKUP($D$17,'[1]m glavni turnir žrebna lista'!$A$7:$R$38,4)))</f>
      </c>
      <c r="Y50" s="136">
        <f>IF(W50="","",IF($U$16&lt;&gt;$U$17,"",IF($J$17="bb",1,IF($J$17="","0",$I$15))))</f>
      </c>
      <c r="Z50" s="136">
        <f>IF($W$45="","",IF($U$18&lt;&gt;$U$17,"",IF($L$19="bb",1,IF($L$19="","0",$K$20))))</f>
      </c>
      <c r="AA50" s="136">
        <f>IF($W$45="","",IF($U$14&lt;&gt;$U$17,"",IF($N$15="bb",1,IF($N$15="","0",$M$10))))</f>
      </c>
      <c r="AB50" s="136">
        <f>IF($W$45="","",IF($U$22&lt;&gt;$U$17,"",IF($P$23="bb",1,IF($P$23="","0",$O$30))))</f>
      </c>
      <c r="AC50" s="136">
        <f>IF($W$45="","",IF($U$38&lt;&gt;$U$17,"",IF($P$39="bb",1,IF($P$39="","0",$Q$54))))</f>
      </c>
      <c r="AD50" s="136"/>
      <c r="AE50" s="147">
        <f t="shared" si="3"/>
        <v>0</v>
      </c>
      <c r="AF50" s="138">
        <f>IF($C17="","",'m glavni 32'!$C$17)</f>
      </c>
      <c r="AG50" s="140">
        <f>UPPER(IF($D$17="","",VLOOKUP($D$17,'[1]m glavni turnir žrebna lista'!$A$7:$R$38,3)))</f>
      </c>
      <c r="AH50" s="140">
        <f>PROPER(IF($D$17="","",VLOOKUP($D$17,'[1]m glavni turnir žrebna lista'!$A$7:$R$38,4)))</f>
      </c>
      <c r="AI50" s="140">
        <f>UPPER(IF($D$17="","",VLOOKUP($D$17,'[1]m glavni turnir žrebna lista'!$A$7:$R$38,5)))</f>
      </c>
      <c r="AJ50" s="147">
        <f t="shared" si="4"/>
        <v>0</v>
      </c>
    </row>
    <row r="51" spans="1:36" s="89" customFormat="1" ht="9" customHeight="1">
      <c r="A51" s="94">
        <v>23</v>
      </c>
      <c r="B51" s="106">
        <f>IF($D51="","",VLOOKUP($D51,'[1]m glavni turnir žrebna lista'!$A$7:$R$38,17))</f>
      </c>
      <c r="C51" s="106">
        <f>IF($D51="","",VLOOKUP($D51,'[1]m glavni turnir žrebna lista'!$A$7:$R$38,2))</f>
      </c>
      <c r="D51" s="80"/>
      <c r="E51" s="107" t="s">
        <v>29</v>
      </c>
      <c r="F51" s="107">
        <f>PROPER(IF($D51="","",VLOOKUP($D51,'[1]m glavni turnir žrebna lista'!$A$7:$R$38,4)))</f>
      </c>
      <c r="G51" s="107"/>
      <c r="H51" s="107">
        <f>IF($D51="","",VLOOKUP($D51,'[1]m glavni turnir žrebna lista'!$A$7:$R$38,5))</f>
      </c>
      <c r="I51" s="81">
        <f>IF($D51="","",VLOOKUP($D51,'[1]m glavni turnir žrebna lista'!$A$7:$R$38,14))</f>
      </c>
      <c r="J51" s="82"/>
      <c r="K51" s="118"/>
      <c r="L51" s="109" t="s">
        <v>44</v>
      </c>
      <c r="M51" s="116"/>
      <c r="N51" s="84"/>
      <c r="O51" s="123"/>
      <c r="P51" s="84"/>
      <c r="Q51" s="123"/>
      <c r="R51" s="88"/>
      <c r="S51" s="154"/>
      <c r="T51" s="145"/>
      <c r="U51" s="146">
        <f>IF($D51="","",VLOOKUP($D51,'[1]m glavni turnir žrebna lista'!$A$7:$R$38,2))</f>
      </c>
      <c r="V51" s="140">
        <v>7</v>
      </c>
      <c r="W51" s="140">
        <f>UPPER(IF($D$19="","",VLOOKUP($D$19,'[1]m glavni turnir žrebna lista'!$A$7:$R$38,3)))</f>
      </c>
      <c r="X51" s="140">
        <f>PROPER(IF($D$19="","",VLOOKUP($D$19,'[1]m glavni turnir žrebna lista'!$A$7:$R$38,4)))</f>
      </c>
      <c r="Y51" s="136">
        <f>IF(W51="","",IF($U$20&lt;&gt;$U$19,"",IF($J$21="bb",1,IF($J$21="","0",$I$21))))</f>
      </c>
      <c r="Z51" s="136">
        <f>IF($W$45="","",IF($U$18&lt;&gt;$U$19,"",IF($L$19="bb",1,IF($L$19="","0",$K$16))))</f>
      </c>
      <c r="AA51" s="136">
        <f>IF($W$45="","",IF($U$14&lt;&gt;$U$19,"",IF($N$15="bb",1,IF($N$15="","0",$M$10))))</f>
      </c>
      <c r="AB51" s="136">
        <f>IF($W$45="","",IF($U$22&lt;&gt;$U$19,"",IF($P$23="bb",1,IF($P$23="","0",$O$30))))</f>
      </c>
      <c r="AC51" s="136">
        <f>IF($W$45="","",IF($U$38&lt;&gt;$U$19,"",IF($P$39="bb",1,IF($P$39="","0",$Q$54))))</f>
      </c>
      <c r="AD51" s="136"/>
      <c r="AE51" s="147">
        <f t="shared" si="3"/>
        <v>0</v>
      </c>
      <c r="AF51" s="138">
        <f>IF($C19="","",'m glavni 32'!$C$19)</f>
      </c>
      <c r="AG51" s="140">
        <f>UPPER(IF($D$19="","",VLOOKUP($D$19,'[1]m glavni turnir žrebna lista'!$A$7:$R$38,3)))</f>
      </c>
      <c r="AH51" s="140">
        <f>PROPER(IF($D$19="","",VLOOKUP($D$19,'[1]m glavni turnir žrebna lista'!$A$7:$R$38,4)))</f>
      </c>
      <c r="AI51" s="140">
        <f>UPPER(IF($D$19="","",VLOOKUP($D$19,'[1]m glavni turnir žrebna lista'!$A$7:$R$38,5)))</f>
      </c>
      <c r="AJ51" s="147">
        <f t="shared" si="4"/>
        <v>0</v>
      </c>
    </row>
    <row r="52" spans="1:36" s="89" customFormat="1" ht="9" customHeight="1">
      <c r="A52" s="94"/>
      <c r="B52" s="95"/>
      <c r="C52" s="95"/>
      <c r="D52" s="95"/>
      <c r="E52" s="96"/>
      <c r="F52" s="96"/>
      <c r="G52" s="97"/>
      <c r="H52" s="98" t="s">
        <v>27</v>
      </c>
      <c r="I52" s="99" t="s">
        <v>33</v>
      </c>
      <c r="J52" s="100" t="str">
        <f>UPPER(IF(OR(I52="a",I52="as"),E51,IF(OR(I52="b",I52="bs"),E53,)))</f>
        <v>CAF</v>
      </c>
      <c r="K52" s="120">
        <f>IF(OR(I52="a",I52="as"),I51,IF(OR(I52="b",I52="bs"),I53,))</f>
        <v>10</v>
      </c>
      <c r="L52" s="82"/>
      <c r="M52" s="116"/>
      <c r="N52" s="84"/>
      <c r="O52" s="123"/>
      <c r="P52" s="84"/>
      <c r="Q52" s="123"/>
      <c r="R52" s="88"/>
      <c r="S52" s="155"/>
      <c r="U52" s="156">
        <f>IF(OR(I52="a",I52="as"),C51,IF(OR(I52="b",I52="bs"),C53,""))</f>
        <v>7349</v>
      </c>
      <c r="V52" s="140">
        <v>8</v>
      </c>
      <c r="W52" s="140" t="str">
        <f>UPPER(IF($D$21="","",VLOOKUP($D$21,'[1]m glavni turnir žrebna lista'!$A$7:$R$38,3)))</f>
        <v>KULIĆ</v>
      </c>
      <c r="X52" s="140" t="str">
        <f>PROPER(IF($D$21="","",VLOOKUP($D$21,'[1]m glavni turnir žrebna lista'!$A$7:$R$38,4)))</f>
        <v>Mark</v>
      </c>
      <c r="Y52" s="136" t="str">
        <f>IF(W52="","",IF($U$20&lt;&gt;$U$21,"",IF($J$21="bb",1,IF($J$21="","0",$I$19))))</f>
        <v>0</v>
      </c>
      <c r="Z52" s="136">
        <f>IF($W$45="","",IF($U$18&lt;&gt;$U$21,"",IF($L$19="bb",1,IF($L$19="","0",$K$16))))</f>
        <v>10</v>
      </c>
      <c r="AA52" s="136">
        <f>IF($W$45="","",IF($U$14&lt;&gt;$U$21,"",IF($N$15="bb",1,IF($N$15="","0",$M$10))))</f>
        <v>10</v>
      </c>
      <c r="AB52" s="136">
        <f>IF($W$45="","",IF($U$22&lt;&gt;$U$21,"",IF($P$23="bb",1,IF($P$23="","0",$O$30))))</f>
        <v>10</v>
      </c>
      <c r="AC52" s="136">
        <f>IF($W$45="","",IF($U$38&lt;&gt;$U$21,"",IF($P$39="bb",1,IF($P$39="","0",$Q$54))))</f>
        <v>10</v>
      </c>
      <c r="AD52" s="136"/>
      <c r="AE52" s="147">
        <f t="shared" si="3"/>
        <v>4</v>
      </c>
      <c r="AF52" s="138">
        <f>IF($C21="","",'m glavni 32'!$C$21)</f>
        <v>7245</v>
      </c>
      <c r="AG52" s="140" t="str">
        <f>UPPER(IF($D$21="","",VLOOKUP($D$21,'[1]m glavni turnir žrebna lista'!$A$7:$R$38,3)))</f>
        <v>KULIĆ</v>
      </c>
      <c r="AH52" s="140" t="str">
        <f>PROPER(IF($D$21="","",VLOOKUP($D$21,'[1]m glavni turnir žrebna lista'!$A$7:$R$38,4)))</f>
        <v>Mark</v>
      </c>
      <c r="AI52" s="140" t="str">
        <f>UPPER(IF($D$21="","",VLOOKUP($D$21,'[1]m glavni turnir žrebna lista'!$A$7:$R$38,5)))</f>
        <v>GROSU</v>
      </c>
      <c r="AJ52" s="147">
        <f t="shared" si="4"/>
        <v>20</v>
      </c>
    </row>
    <row r="53" spans="1:36" s="89" customFormat="1" ht="9" customHeight="1">
      <c r="A53" s="78">
        <v>24</v>
      </c>
      <c r="B53" s="79" t="s">
        <v>26</v>
      </c>
      <c r="C53" s="79">
        <f>IF($D53="","",VLOOKUP($D53,'[1]m glavni turnir žrebna lista'!$A$7:$R$38,2))</f>
        <v>7349</v>
      </c>
      <c r="D53" s="80">
        <v>4</v>
      </c>
      <c r="E53" s="79" t="str">
        <f>UPPER(IF($D53="","",VLOOKUP($D53,'[1]m glavni turnir žrebna lista'!$A$7:$R$38,3)))</f>
        <v>CAF</v>
      </c>
      <c r="F53" s="79" t="str">
        <f>PROPER(IF($D53="","",VLOOKUP($D53,'[1]m glavni turnir žrebna lista'!$A$7:$R$38,4)))</f>
        <v>Gregor</v>
      </c>
      <c r="G53" s="79"/>
      <c r="H53" s="79" t="str">
        <f>IF($D53="","",VLOOKUP($D53,'[1]m glavni turnir žrebna lista'!$A$7:$R$38,5))</f>
        <v>ŽTKMB</v>
      </c>
      <c r="I53" s="108">
        <f>IF($D53="","",VLOOKUP($D53,'[1]m glavni turnir žrebna lista'!$A$7:$R$38,14))</f>
        <v>10</v>
      </c>
      <c r="J53" s="109"/>
      <c r="K53" s="83"/>
      <c r="L53" s="82"/>
      <c r="M53" s="116"/>
      <c r="N53" s="84"/>
      <c r="O53" s="123"/>
      <c r="P53" s="84"/>
      <c r="Q53" s="123"/>
      <c r="R53" s="88"/>
      <c r="S53" s="155"/>
      <c r="U53" s="35">
        <f>IF($D53="","",VLOOKUP($D53,'[1]m glavni turnir žrebna lista'!$A$7:$R$38,2))</f>
        <v>7349</v>
      </c>
      <c r="V53" s="140">
        <v>9</v>
      </c>
      <c r="W53" s="140" t="str">
        <f>UPPER(IF($D$23="","",VLOOKUP($D$23,'[1]m glavni turnir žrebna lista'!$A$7:$R$38,3)))</f>
        <v>HRKAČ</v>
      </c>
      <c r="X53" s="140" t="str">
        <f>PROPER(IF($D$23="","",VLOOKUP($D$23,'[1]m glavni turnir žrebna lista'!$A$7:$R$38,4)))</f>
        <v>Gašper</v>
      </c>
      <c r="Y53" s="136" t="str">
        <f>IF(W53="","",IF($U$24&lt;&gt;$U$23,"",IF($J$25="bb",1,IF($J$25="","0",$I$25))))</f>
        <v>0</v>
      </c>
      <c r="Z53" s="136">
        <f>IF($W$45="","",IF($U$26&lt;&gt;$U$23,"",IF($L$27="bb",1,IF($L$27="","0",$K$28))))</f>
      </c>
      <c r="AA53" s="136">
        <f>IF($W$45="","",IF($U$30&lt;&gt;$U$23,"",IF($N$31="bb",1,IF($N$31="","0",$M$34))))</f>
      </c>
      <c r="AB53" s="136">
        <f>IF($W$45="","",IF($U$22&lt;&gt;$U$23,"",IF($P$23="bb",1,IF($P$23="","0",$O$14))))</f>
      </c>
      <c r="AC53" s="136">
        <f>IF($W$45="","",IF($U$38&lt;&gt;$U$23,"",IF($P$39="bb",1,IF($P$39="","0",$Q$54))))</f>
      </c>
      <c r="AD53" s="136"/>
      <c r="AE53" s="147">
        <f t="shared" si="3"/>
        <v>0</v>
      </c>
      <c r="AF53" s="138">
        <f>IF($C23="","",'m glavni 32'!$C$23)</f>
        <v>7411</v>
      </c>
      <c r="AG53" s="140" t="str">
        <f>UPPER(IF($D$23="","",VLOOKUP($D$23,'[1]m glavni turnir žrebna lista'!$A$7:$R$38,3)))</f>
        <v>HRKAČ</v>
      </c>
      <c r="AH53" s="140" t="str">
        <f>PROPER(IF($D$23="","",VLOOKUP($D$23,'[1]m glavni turnir žrebna lista'!$A$7:$R$38,4)))</f>
        <v>Gašper</v>
      </c>
      <c r="AI53" s="140" t="str">
        <f>UPPER(IF($D$23="","",VLOOKUP($D$23,'[1]m glavni turnir žrebna lista'!$A$7:$R$38,5)))</f>
        <v>TR-KR</v>
      </c>
      <c r="AJ53" s="147">
        <f t="shared" si="4"/>
        <v>2</v>
      </c>
    </row>
    <row r="54" spans="1:36" s="89" customFormat="1" ht="9" customHeight="1">
      <c r="A54" s="94"/>
      <c r="B54" s="95"/>
      <c r="C54" s="95"/>
      <c r="D54" s="95"/>
      <c r="E54" s="122"/>
      <c r="F54" s="122"/>
      <c r="G54" s="127"/>
      <c r="H54" s="122"/>
      <c r="I54" s="112"/>
      <c r="J54" s="82"/>
      <c r="K54" s="83"/>
      <c r="L54" s="82"/>
      <c r="M54" s="116"/>
      <c r="N54" s="98" t="s">
        <v>27</v>
      </c>
      <c r="O54" s="113" t="s">
        <v>35</v>
      </c>
      <c r="P54" s="100" t="str">
        <f>UPPER(IF(OR(O54="a",O54="as"),N46,IF(OR(O54="b",O54="bs"),N62,)))</f>
        <v>JUSTIN</v>
      </c>
      <c r="Q54" s="130">
        <f>IF(OR(O54="a",O54="as"),O46,IF(OR(O54="b",O54="bs"),O62,))</f>
        <v>10</v>
      </c>
      <c r="R54" s="88"/>
      <c r="S54" s="155"/>
      <c r="U54" s="35">
        <f>IF(OR(O54="a",O54="as"),U46,IF(OR(O54="b",O54="bs"),U62,""))</f>
        <v>6863</v>
      </c>
      <c r="V54" s="140">
        <v>10</v>
      </c>
      <c r="W54" s="140">
        <f>UPPER(IF($D$25="","",VLOOKUP($D$25,'[1]m glavni turnir žrebna lista'!$A$7:$R$38,3)))</f>
      </c>
      <c r="X54" s="140">
        <f>PROPER(IF($D$25="","",VLOOKUP($D$25,'[1]m glavni turnir žrebna lista'!$A$7:$R$38,4)))</f>
      </c>
      <c r="Y54" s="136">
        <f>IF(W54="","",IF($U$24&lt;&gt;$U$25,"",IF($J$25="bb",1,IF($J$25="","0",$I$23))))</f>
      </c>
      <c r="Z54" s="136">
        <f>IF($W$45="","",IF($U$26&lt;&gt;$U$25,"",IF($L$27="bb",1,IF($L$27="","0",$K$28))))</f>
      </c>
      <c r="AA54" s="136">
        <f>IF($W$45="","",IF($U$30&lt;&gt;$U$25,"",IF($N$31="bb",1,IF($N$31="","0",$M$34))))</f>
      </c>
      <c r="AB54" s="136">
        <f>IF($W$45="","",IF($U$22&lt;&gt;$U$25,"",IF($P$23="bb",1,IF($P$23="","0",$O$14))))</f>
      </c>
      <c r="AC54" s="136">
        <f>IF($W$45="","",IF($U$38&lt;&gt;$U$25,"",IF($P$39="bb",1,IF($P$39="","0",$Q$54))))</f>
      </c>
      <c r="AD54" s="136"/>
      <c r="AE54" s="147">
        <f t="shared" si="3"/>
        <v>0</v>
      </c>
      <c r="AF54" s="138">
        <f>IF($C25="","",'m glavni 32'!$C$25)</f>
      </c>
      <c r="AG54" s="140">
        <f>UPPER(IF($D$25="","",VLOOKUP($D$25,'[1]m glavni turnir žrebna lista'!$A$7:$R$38,3)))</f>
      </c>
      <c r="AH54" s="140">
        <f>PROPER(IF($D$25="","",VLOOKUP($D$25,'[1]m glavni turnir žrebna lista'!$A$7:$R$38,4)))</f>
      </c>
      <c r="AI54" s="140">
        <f>UPPER(IF($D$25="","",VLOOKUP($D$25,'[1]m glavni turnir žrebna lista'!$A$7:$R$38,5)))</f>
      </c>
      <c r="AJ54" s="147">
        <f t="shared" si="4"/>
        <v>0</v>
      </c>
    </row>
    <row r="55" spans="1:36" s="89" customFormat="1" ht="9" customHeight="1">
      <c r="A55" s="78">
        <v>25</v>
      </c>
      <c r="B55" s="79" t="s">
        <v>26</v>
      </c>
      <c r="C55" s="79">
        <f>IF($D55="","",VLOOKUP($D55,'[1]m glavni turnir žrebna lista'!$A$7:$R$38,2))</f>
        <v>7802</v>
      </c>
      <c r="D55" s="80">
        <v>7</v>
      </c>
      <c r="E55" s="79" t="str">
        <f>UPPER(IF($D55="","",VLOOKUP($D55,'[1]m glavni turnir žrebna lista'!$A$7:$R$38,3)))</f>
        <v>DOLENC</v>
      </c>
      <c r="F55" s="79" t="str">
        <f>PROPER(IF($D55="","",VLOOKUP($D55,'[1]m glavni turnir žrebna lista'!$A$7:$R$38,4)))</f>
        <v>Anže</v>
      </c>
      <c r="G55" s="79"/>
      <c r="H55" s="79" t="str">
        <f>IF($D55="","",VLOOKUP($D55,'[1]m glavni turnir žrebna lista'!$A$7:$R$38,5))</f>
        <v>RADOM</v>
      </c>
      <c r="I55" s="81">
        <f>IF($D55="","",VLOOKUP($D55,'[1]m glavni turnir žrebna lista'!$A$7:$R$38,14))</f>
        <v>10</v>
      </c>
      <c r="J55" s="82"/>
      <c r="K55" s="83"/>
      <c r="L55" s="82"/>
      <c r="M55" s="116"/>
      <c r="N55" s="84"/>
      <c r="O55" s="123"/>
      <c r="P55" s="109" t="s">
        <v>39</v>
      </c>
      <c r="Q55" s="85"/>
      <c r="R55" s="88"/>
      <c r="S55" s="155"/>
      <c r="U55" s="35">
        <f>IF($D55="","",VLOOKUP($D55,'[1]m glavni turnir žrebna lista'!$A$7:$R$38,2))</f>
        <v>7802</v>
      </c>
      <c r="V55" s="140">
        <v>11</v>
      </c>
      <c r="W55" s="140">
        <f>UPPER(IF($D$27="","",VLOOKUP($D$27,'[1]m glavni turnir žrebna lista'!$A$7:$R$38,3)))</f>
      </c>
      <c r="X55" s="140">
        <f>PROPER(IF($D$27="","",VLOOKUP($D$27,'[1]m glavni turnir žrebna lista'!$A$7:$R$38,4)))</f>
      </c>
      <c r="Y55" s="136">
        <f>IF(W55="","",IF($U$28&lt;&gt;$U$27,"",IF($J$29="bb",1,IF($J$29="","0",$I$29))))</f>
      </c>
      <c r="Z55" s="136">
        <f>IF($W$45="","",IF($U$26&lt;&gt;$U$27,"",IF($L$27="bb",1,IF($L$27="","0",$K$24))))</f>
      </c>
      <c r="AA55" s="136">
        <f>IF($W$45="","",IF($U$30&lt;&gt;$U$27,"",IF($N$31="bb",1,IF($N$31="","0",$M$34))))</f>
      </c>
      <c r="AB55" s="136">
        <f>IF($W$45="","",IF($U$22&lt;&gt;$U$27,"",IF($P$23="bb",1,IF($P$23="","0",$O$14))))</f>
      </c>
      <c r="AC55" s="136">
        <f>IF($W$45="","",IF($U$38&lt;&gt;$U$27,"",IF($P$39="bb",1,IF($P$39="","0",$Q$54))))</f>
      </c>
      <c r="AD55" s="136"/>
      <c r="AE55" s="147">
        <f t="shared" si="3"/>
        <v>0</v>
      </c>
      <c r="AF55" s="138">
        <f>IF($C27="","",'m glavni 32'!$C$27)</f>
      </c>
      <c r="AG55" s="140">
        <f>UPPER(IF($D$27="","",VLOOKUP($D$27,'[1]m glavni turnir žrebna lista'!$A$7:$R$38,3)))</f>
      </c>
      <c r="AH55" s="140">
        <f>PROPER(IF($D$27="","",VLOOKUP($D$27,'[1]m glavni turnir žrebna lista'!$A$7:$R$38,4)))</f>
      </c>
      <c r="AI55" s="140">
        <f>UPPER(IF($D$27="","",VLOOKUP($D$27,'[1]m glavni turnir žrebna lista'!$A$7:$R$38,5)))</f>
      </c>
      <c r="AJ55" s="147">
        <f t="shared" si="4"/>
        <v>0</v>
      </c>
    </row>
    <row r="56" spans="1:36" s="89" customFormat="1" ht="9" customHeight="1">
      <c r="A56" s="94"/>
      <c r="B56" s="95"/>
      <c r="C56" s="95"/>
      <c r="D56" s="95"/>
      <c r="E56" s="96"/>
      <c r="F56" s="96"/>
      <c r="G56" s="97"/>
      <c r="H56" s="98" t="s">
        <v>27</v>
      </c>
      <c r="I56" s="99" t="s">
        <v>28</v>
      </c>
      <c r="J56" s="100" t="str">
        <f>UPPER(IF(OR(I56="a",I56="as"),E55,IF(OR(I56="b",I56="bs"),E57,)))</f>
        <v>DOLENC</v>
      </c>
      <c r="K56" s="101">
        <f>IF(OR(I56="a",I56="as"),I55,IF(OR(I56="b",I56="bs"),I57,))</f>
        <v>10</v>
      </c>
      <c r="L56" s="82"/>
      <c r="M56" s="116"/>
      <c r="N56" s="84"/>
      <c r="O56" s="123"/>
      <c r="P56" s="84"/>
      <c r="Q56" s="85"/>
      <c r="R56" s="88"/>
      <c r="S56" s="155"/>
      <c r="U56" s="35">
        <f>IF(OR(I56="a",I56="as"),C55,IF(OR(I56="b",I56="bs"),C57,""))</f>
        <v>7802</v>
      </c>
      <c r="V56" s="140">
        <v>12</v>
      </c>
      <c r="W56" s="140" t="str">
        <f>UPPER(IF($D$29="","",VLOOKUP($D$29,'[1]m glavni turnir žrebna lista'!$A$7:$R$38,3)))</f>
        <v>DIMITRIJEVIČ</v>
      </c>
      <c r="X56" s="140" t="str">
        <f>PROPER(IF($D$29="","",VLOOKUP($D$29,'[1]m glavni turnir žrebna lista'!$A$7:$R$38,4)))</f>
        <v>Nik</v>
      </c>
      <c r="Y56" s="136" t="str">
        <f>IF(W56="","",IF($U$28&lt;&gt;$U$29,"",IF($J$29="bb",1,IF($J$29="","0",$I$27))))</f>
        <v>0</v>
      </c>
      <c r="Z56" s="136">
        <f>IF($W$45="","",IF($U$26&lt;&gt;$U$29,"",IF($L$27="bb",1,IF($L$27="","0",$K$24))))</f>
        <v>10</v>
      </c>
      <c r="AA56" s="136">
        <f>IF($W$45="","",IF($U$30&lt;&gt;$U$29,"",IF($N$31="bb",1,IF($N$31="","0",$M$34))))</f>
      </c>
      <c r="AB56" s="136">
        <f>IF($W$45="","",IF($U$22&lt;&gt;$U$29,"",IF($P$23="bb",1,IF($P$23="","0",$O$14))))</f>
      </c>
      <c r="AC56" s="136">
        <f>IF($W$45="","",IF($U$38&lt;&gt;$U$29,"",IF($P$39="bb",1,IF($P$39="","0",$Q$54))))</f>
      </c>
      <c r="AD56" s="136"/>
      <c r="AE56" s="147">
        <f t="shared" si="3"/>
        <v>1</v>
      </c>
      <c r="AF56" s="138">
        <f>IF($C29="","",'m glavni 32'!$C$29)</f>
        <v>7367</v>
      </c>
      <c r="AG56" s="140" t="str">
        <f>UPPER(IF($D$29="","",VLOOKUP($D$29,'[1]m glavni turnir žrebna lista'!$A$7:$R$38,3)))</f>
        <v>DIMITRIJEVIČ</v>
      </c>
      <c r="AH56" s="140" t="str">
        <f>PROPER(IF($D$29="","",VLOOKUP($D$29,'[1]m glavni turnir žrebna lista'!$A$7:$R$38,4)))</f>
        <v>Nik</v>
      </c>
      <c r="AI56" s="140" t="str">
        <f>UPPER(IF($D$29="","",VLOOKUP($D$29,'[1]m glavni turnir žrebna lista'!$A$7:$R$38,5)))</f>
        <v>CELJE</v>
      </c>
      <c r="AJ56" s="147">
        <f t="shared" si="4"/>
        <v>5</v>
      </c>
    </row>
    <row r="57" spans="1:36" s="89" customFormat="1" ht="9" customHeight="1">
      <c r="A57" s="94">
        <v>26</v>
      </c>
      <c r="B57" s="106">
        <f>IF($D57="","",VLOOKUP($D57,'[1]m glavni turnir žrebna lista'!$A$7:$R$38,17))</f>
      </c>
      <c r="C57" s="106">
        <f>IF($D57="","",VLOOKUP($D57,'[1]m glavni turnir žrebna lista'!$A$7:$R$38,2))</f>
      </c>
      <c r="D57" s="80"/>
      <c r="E57" s="107" t="s">
        <v>29</v>
      </c>
      <c r="F57" s="107">
        <f>PROPER(IF($D57="","",VLOOKUP($D57,'[1]m glavni turnir žrebna lista'!$A$7:$R$38,4)))</f>
      </c>
      <c r="G57" s="107"/>
      <c r="H57" s="107">
        <f>IF($D57="","",VLOOKUP($D57,'[1]m glavni turnir žrebna lista'!$A$7:$R$38,5))</f>
      </c>
      <c r="I57" s="108">
        <f>IF($D57="","",VLOOKUP($D57,'[1]m glavni turnir žrebna lista'!$A$7:$R$38,14))</f>
      </c>
      <c r="J57" s="109"/>
      <c r="K57" s="110"/>
      <c r="L57" s="82"/>
      <c r="M57" s="84"/>
      <c r="O57" s="123"/>
      <c r="P57" s="84"/>
      <c r="Q57" s="85"/>
      <c r="R57" s="88"/>
      <c r="S57" s="155"/>
      <c r="U57" s="35">
        <f>IF($D57="","",VLOOKUP($D57,'[1]m glavni turnir žrebna lista'!$A$7:$R$38,2))</f>
      </c>
      <c r="V57" s="140">
        <v>13</v>
      </c>
      <c r="W57" s="140" t="str">
        <f>UPPER(IF($D$31="","",VLOOKUP($D$31,'[1]m glavni turnir žrebna lista'!$A$7:$R$38,3)))</f>
        <v>REBERČNIK</v>
      </c>
      <c r="X57" s="140" t="str">
        <f>PROPER(IF($D$31="","",VLOOKUP($D$31,'[1]m glavni turnir žrebna lista'!$A$7:$R$38,4)))</f>
        <v>Domen</v>
      </c>
      <c r="Y57" s="136">
        <f>IF(W57="","",IF($U$32&lt;&gt;$U$31,"",IF($J$33="bb",1,IF($J$33="","0",$I$33))))</f>
        <v>10</v>
      </c>
      <c r="Z57" s="136">
        <f>IF($W$45="","",IF($U$34&lt;&gt;$U$31,"",IF($L$35="bb",1,IF($L$35="","0",$K$36))))</f>
        <v>10</v>
      </c>
      <c r="AA57" s="136">
        <f>IF($W$45="","",IF($U$30&lt;&gt;$U$31,"",IF($N$31="bb",1,IF($N$31="","0",$M$26))))</f>
        <v>10</v>
      </c>
      <c r="AB57" s="136">
        <f>IF($W$45="","",IF($U$22&lt;&gt;$U$31,"",IF($P$23="bb",1,IF($P$23="","0",$O$14))))</f>
      </c>
      <c r="AC57" s="136">
        <f>IF($W$45="","",IF($U$38&lt;&gt;$U$31,"",IF($P$39="bb",1,IF($P$39="","0",$Q$54))))</f>
      </c>
      <c r="AD57" s="136"/>
      <c r="AE57" s="147">
        <f t="shared" si="3"/>
        <v>3</v>
      </c>
      <c r="AF57" s="138">
        <f>IF($C31="","",'m glavni 32'!$C$31)</f>
        <v>7141</v>
      </c>
      <c r="AG57" s="140" t="str">
        <f>UPPER(IF($D$31="","",VLOOKUP($D$31,'[1]m glavni turnir žrebna lista'!$A$7:$R$38,3)))</f>
        <v>REBERČNIK</v>
      </c>
      <c r="AH57" s="140" t="str">
        <f>PROPER(IF($D$31="","",VLOOKUP($D$31,'[1]m glavni turnir žrebna lista'!$A$7:$R$38,4)))</f>
        <v>Domen</v>
      </c>
      <c r="AI57" s="140" t="str">
        <f>UPPER(IF($D$31="","",VLOOKUP($D$31,'[1]m glavni turnir žrebna lista'!$A$7:$R$38,5)))</f>
        <v>ŠTKVE</v>
      </c>
      <c r="AJ57" s="147">
        <f t="shared" si="4"/>
        <v>11</v>
      </c>
    </row>
    <row r="58" spans="1:36" s="89" customFormat="1" ht="9" customHeight="1">
      <c r="A58" s="94"/>
      <c r="B58" s="95"/>
      <c r="C58" s="95"/>
      <c r="D58" s="111"/>
      <c r="E58" s="96"/>
      <c r="F58" s="96"/>
      <c r="G58" s="97"/>
      <c r="H58" s="96"/>
      <c r="I58" s="112"/>
      <c r="J58" s="98" t="s">
        <v>27</v>
      </c>
      <c r="K58" s="113" t="s">
        <v>33</v>
      </c>
      <c r="L58" s="100" t="str">
        <f>UPPER(IF(OR(K58="a",K58="as"),J56,IF(OR(K58="b",K58="bs"),J60,)))</f>
        <v>PURIĆ</v>
      </c>
      <c r="M58" s="114">
        <f>IF(OR(K58="a",K58="as"),K56,IF(OR(K58="b",K58="bs"),K60,))</f>
        <v>10</v>
      </c>
      <c r="N58" s="84"/>
      <c r="O58" s="123"/>
      <c r="P58" s="84"/>
      <c r="Q58" s="85"/>
      <c r="R58" s="88"/>
      <c r="S58" s="155"/>
      <c r="U58" s="35">
        <f>IF(OR(K58="a",K58="as"),U56,IF(OR(K58="b",K58="bs"),U60,""))</f>
        <v>7786</v>
      </c>
      <c r="V58" s="140">
        <v>14</v>
      </c>
      <c r="W58" s="140" t="str">
        <f>UPPER(IF($D$33="","",VLOOKUP($D$33,'[1]m glavni turnir žrebna lista'!$A$7:$R$38,3)))</f>
        <v>VAJD</v>
      </c>
      <c r="X58" s="140" t="str">
        <f>PROPER(IF($D$33="","",VLOOKUP($D$33,'[1]m glavni turnir žrebna lista'!$A$7:$R$38,4)))</f>
        <v>Mark David</v>
      </c>
      <c r="Y58" s="136">
        <f>IF(W58="","",IF($U$32&lt;&gt;$U$33,"",IF($J$33="bb",1,IF($J$33="","0",$I$31))))</f>
      </c>
      <c r="Z58" s="136">
        <f>IF($W$45="","",IF($U$34&lt;&gt;$U$33,"",IF($L$35="bb",1,IF($L$35="","0",$K$36))))</f>
      </c>
      <c r="AA58" s="136">
        <f>IF($W$45="","",IF($U$30&lt;&gt;$U$33,"",IF($N$31="bb",1,IF($N$31="","0",$M$26))))</f>
      </c>
      <c r="AB58" s="136">
        <f>IF($W$45="","",IF($U$22&lt;&gt;$U$33,"",IF($P$23="bb",1,IF($P$23="","0",$O$14))))</f>
      </c>
      <c r="AC58" s="136">
        <f>IF($W$45="","",IF($U$38&lt;&gt;$U$33,"",IF($P$39="bb",1,IF($P$39="","0",$Q$54))))</f>
      </c>
      <c r="AD58" s="136"/>
      <c r="AE58" s="147">
        <f t="shared" si="3"/>
        <v>0</v>
      </c>
      <c r="AF58" s="138">
        <f>IF($C33="","",'m glavni 32'!$C$33)</f>
        <v>7307</v>
      </c>
      <c r="AG58" s="140" t="str">
        <f>UPPER(IF($D$33="","",VLOOKUP($D$33,'[1]m glavni turnir žrebna lista'!$A$7:$R$38,3)))</f>
        <v>VAJD</v>
      </c>
      <c r="AH58" s="140" t="str">
        <f>PROPER(IF($D$33="","",VLOOKUP($D$33,'[1]m glavni turnir žrebna lista'!$A$7:$R$38,4)))</f>
        <v>Mark David</v>
      </c>
      <c r="AI58" s="140" t="str">
        <f>UPPER(IF($D$33="","",VLOOKUP($D$33,'[1]m glavni turnir žrebna lista'!$A$7:$R$38,5)))</f>
        <v>HITLJ</v>
      </c>
      <c r="AJ58" s="147">
        <f t="shared" si="4"/>
        <v>1</v>
      </c>
    </row>
    <row r="59" spans="1:36" s="89" customFormat="1" ht="9" customHeight="1">
      <c r="A59" s="94">
        <v>27</v>
      </c>
      <c r="B59" s="106" t="s">
        <v>26</v>
      </c>
      <c r="C59" s="106">
        <f>IF($D59="","",VLOOKUP($D59,'[1]m glavni turnir žrebna lista'!$A$7:$R$38,2))</f>
        <v>7786</v>
      </c>
      <c r="D59" s="80">
        <v>14</v>
      </c>
      <c r="E59" s="107" t="str">
        <f>UPPER(IF($D59="","",VLOOKUP($D59,'[1]m glavni turnir žrebna lista'!$A$7:$R$38,3)))</f>
        <v>PURIĆ</v>
      </c>
      <c r="F59" s="107" t="str">
        <f>PROPER(IF($D59="","",VLOOKUP($D59,'[1]m glavni turnir žrebna lista'!$A$7:$R$38,4)))</f>
        <v>Dorian</v>
      </c>
      <c r="G59" s="107"/>
      <c r="H59" s="107" t="str">
        <f>IF($D59="","",VLOOKUP($D59,'[1]m glavni turnir žrebna lista'!$A$7:$R$38,5))</f>
        <v>KOPER</v>
      </c>
      <c r="I59" s="81">
        <f>IF($D59="","",VLOOKUP($D59,'[1]m glavni turnir žrebna lista'!$A$7:$R$38,14))</f>
        <v>10</v>
      </c>
      <c r="J59" s="82"/>
      <c r="K59" s="118"/>
      <c r="L59" s="109" t="s">
        <v>45</v>
      </c>
      <c r="M59" s="119"/>
      <c r="N59" s="84"/>
      <c r="O59" s="123"/>
      <c r="P59" s="84"/>
      <c r="Q59" s="85"/>
      <c r="R59" s="157"/>
      <c r="S59" s="155"/>
      <c r="U59" s="35">
        <f>IF($D59="","",VLOOKUP($D59,'[1]m glavni turnir žrebna lista'!$A$7:$R$38,2))</f>
        <v>7786</v>
      </c>
      <c r="V59" s="140">
        <v>15</v>
      </c>
      <c r="W59" s="140">
        <f>UPPER(IF($D$35="","",VLOOKUP($D$35,'[1]m glavni turnir žrebna lista'!$A$7:$R$38,3)))</f>
      </c>
      <c r="X59" s="140">
        <f>PROPER(IF($D$35="","",VLOOKUP($D$35,'[1]m glavni turnir žrebna lista'!$A$7:$R$38,4)))</f>
      </c>
      <c r="Y59" s="136">
        <f>IF(W59="","",IF($U$36&lt;&gt;$U$35,"",IF($J$37="bb",1,IF($J$37="","0",$I$37))))</f>
      </c>
      <c r="Z59" s="136">
        <f>IF($W$45="","",IF($U$34&lt;&gt;$U$35,"",IF($L$35="bb",1,IF($L$35="","0",$K$32))))</f>
      </c>
      <c r="AA59" s="136">
        <f>IF($W$45="","",IF($U$30&lt;&gt;$U$35,"",IF($N$31="bb",1,IF($N$31="","0",$M$26))))</f>
      </c>
      <c r="AB59" s="136">
        <f>IF($W$45="","",IF($U$22&lt;&gt;$U$35,"",IF($P$23="bb",1,IF($P$23="","0",$O$14))))</f>
      </c>
      <c r="AC59" s="136">
        <f>IF($W$45="","",IF($U$38&lt;&gt;$U$35,"",IF($P$39="bb",1,IF($P$39="","0",$Q$54))))</f>
      </c>
      <c r="AD59" s="136"/>
      <c r="AE59" s="147">
        <f t="shared" si="3"/>
        <v>0</v>
      </c>
      <c r="AF59" s="138">
        <f>IF($C35="","",'m glavni 32'!$C$35)</f>
      </c>
      <c r="AG59" s="140">
        <f>UPPER(IF($D$35="","",VLOOKUP($D$35,'[1]m glavni turnir žrebna lista'!$A$7:$R$38,3)))</f>
      </c>
      <c r="AH59" s="140">
        <f>PROPER(IF($D$35="","",VLOOKUP($D$35,'[1]m glavni turnir žrebna lista'!$A$7:$R$38,4)))</f>
      </c>
      <c r="AI59" s="140">
        <f>UPPER(IF($D$35="","",VLOOKUP($D$35,'[1]m glavni turnir žrebna lista'!$A$7:$R$38,5)))</f>
      </c>
      <c r="AJ59" s="147">
        <f t="shared" si="4"/>
        <v>0</v>
      </c>
    </row>
    <row r="60" spans="1:36" s="89" customFormat="1" ht="9" customHeight="1">
      <c r="A60" s="94"/>
      <c r="B60" s="95"/>
      <c r="C60" s="95"/>
      <c r="D60" s="111"/>
      <c r="E60" s="96"/>
      <c r="F60" s="96"/>
      <c r="G60" s="97"/>
      <c r="H60" s="98" t="s">
        <v>27</v>
      </c>
      <c r="I60" s="99" t="s">
        <v>28</v>
      </c>
      <c r="J60" s="100" t="str">
        <f>UPPER(IF(OR(I60="a",I60="as"),E59,IF(OR(I60="b",I60="bs"),E61,)))</f>
        <v>PURIĆ</v>
      </c>
      <c r="K60" s="120">
        <f>IF(OR(I60="a",I60="as"),I59,IF(OR(I60="b",I60="bs"),I61,))</f>
        <v>10</v>
      </c>
      <c r="L60" s="82"/>
      <c r="M60" s="119"/>
      <c r="N60" s="84"/>
      <c r="O60" s="123"/>
      <c r="P60" s="158"/>
      <c r="Q60" s="159"/>
      <c r="R60" s="88"/>
      <c r="S60" s="155"/>
      <c r="U60" s="35">
        <f>IF(OR(I60="a",I60="as"),C59,IF(OR(I60="b",I60="bs"),C61,""))</f>
        <v>7786</v>
      </c>
      <c r="V60" s="140">
        <v>16</v>
      </c>
      <c r="W60" s="140" t="str">
        <f>UPPER(IF($D$37="","",VLOOKUP($D$37,'[1]m glavni turnir žrebna lista'!$A$7:$R$38,3)))</f>
        <v>POTISK</v>
      </c>
      <c r="X60" s="140" t="str">
        <f>PROPER(IF($D$37="","",VLOOKUP($D$37,'[1]m glavni turnir žrebna lista'!$A$7:$R$38,4)))</f>
        <v>Gregor</v>
      </c>
      <c r="Y60" s="136" t="str">
        <f>IF(W60="","",IF($U$36&lt;&gt;$U$37,"",IF($J$37="bb",1,IF($J$37="","0",$I$35))))</f>
        <v>0</v>
      </c>
      <c r="Z60" s="136">
        <f>IF($W$45="","",IF($U$34&lt;&gt;$U$37,"",IF($L$35="bb",1,IF($L$35="","0",$K$32))))</f>
      </c>
      <c r="AA60" s="136">
        <f>IF($W$45="","",IF($U$30&lt;&gt;$U$37,"",IF($N$31="bb",1,IF($N$31="","0",$M$26))))</f>
      </c>
      <c r="AB60" s="136">
        <f>IF($W$45="","",IF($U$22&lt;&gt;$U$37,"",IF($P$23="bb",1,IF($P$23="","0",$O$14))))</f>
      </c>
      <c r="AC60" s="136">
        <f>IF($W$45="","",IF($U$38&lt;&gt;$U$37,"",IF($P$39="bb",1,IF($P$39="","0",$Q$54))))</f>
      </c>
      <c r="AD60" s="136"/>
      <c r="AE60" s="147">
        <f t="shared" si="3"/>
        <v>0</v>
      </c>
      <c r="AF60" s="138">
        <f>IF($C37="","",'m glavni 32'!$C$37)</f>
        <v>7898</v>
      </c>
      <c r="AG60" s="140" t="str">
        <f>UPPER(IF($D$37="","",VLOOKUP($D$37,'[1]m glavni turnir žrebna lista'!$A$7:$R$38,3)))</f>
        <v>POTISK</v>
      </c>
      <c r="AH60" s="140" t="str">
        <f>PROPER(IF($D$37="","",VLOOKUP($D$37,'[1]m glavni turnir žrebna lista'!$A$7:$R$38,4)))</f>
        <v>Gregor</v>
      </c>
      <c r="AI60" s="140" t="str">
        <f>UPPER(IF($D$37="","",VLOOKUP($D$37,'[1]m glavni turnir žrebna lista'!$A$7:$R$38,5)))</f>
        <v>BR-MB</v>
      </c>
      <c r="AJ60" s="147">
        <f t="shared" si="4"/>
        <v>2</v>
      </c>
    </row>
    <row r="61" spans="1:36" s="89" customFormat="1" ht="9" customHeight="1">
      <c r="A61" s="94">
        <v>28</v>
      </c>
      <c r="B61" s="106" t="s">
        <v>26</v>
      </c>
      <c r="C61" s="106">
        <f>IF($D61="","",VLOOKUP($D61,'[1]m glavni turnir žrebna lista'!$A$7:$R$38,2))</f>
        <v>7881</v>
      </c>
      <c r="D61" s="80">
        <v>17</v>
      </c>
      <c r="E61" s="107" t="str">
        <f>UPPER(IF($D61="","",VLOOKUP($D61,'[1]m glavni turnir žrebna lista'!$A$7:$R$38,3)))</f>
        <v>REBEC</v>
      </c>
      <c r="F61" s="107" t="str">
        <f>PROPER(IF($D61="","",VLOOKUP($D61,'[1]m glavni turnir žrebna lista'!$A$7:$R$38,4)))</f>
        <v>Gašper</v>
      </c>
      <c r="G61" s="107"/>
      <c r="H61" s="107" t="str">
        <f>IF($D61="","",VLOOKUP($D61,'[1]m glavni turnir žrebna lista'!$A$7:$R$38,5))</f>
        <v>IL-BI</v>
      </c>
      <c r="I61" s="108">
        <f>IF($D61="","",VLOOKUP($D61,'[1]m glavni turnir žrebna lista'!$A$7:$R$38,14))</f>
        <v>10</v>
      </c>
      <c r="J61" s="109" t="s">
        <v>46</v>
      </c>
      <c r="K61" s="83"/>
      <c r="L61" s="82"/>
      <c r="M61" s="119"/>
      <c r="N61" s="84"/>
      <c r="O61" s="160"/>
      <c r="P61" s="158" t="s">
        <v>47</v>
      </c>
      <c r="Q61" s="161"/>
      <c r="R61" s="88"/>
      <c r="S61" s="155"/>
      <c r="U61" s="35">
        <f>IF($D61="","",VLOOKUP($D61,'[1]m glavni turnir žrebna lista'!$A$7:$R$38,2))</f>
        <v>7881</v>
      </c>
      <c r="V61" s="140">
        <v>17</v>
      </c>
      <c r="W61" s="140" t="str">
        <f>UPPER(IF($D$39="","",VLOOKUP($D$39,'[1]m glavni turnir žrebna lista'!$A$7:$R$38,3)))</f>
        <v>RUTAR</v>
      </c>
      <c r="X61" s="140" t="str">
        <f>PROPER(IF($D$39="","",VLOOKUP($D$39,'[1]m glavni turnir žrebna lista'!$A$7:$R$38,4)))</f>
        <v>Matic</v>
      </c>
      <c r="Y61" s="136" t="str">
        <f>IF(W61="","",IF($U$40&lt;&gt;$U$39,"",IF($J$41="bb",1,IF($J$41="","0",$I$41))))</f>
        <v>0</v>
      </c>
      <c r="Z61" s="136">
        <f>IF($W$45="","",IF($U$42&lt;&gt;$U$39,"",IF($L$43="bb",1,IF($L$43="","0",$K$44))))</f>
      </c>
      <c r="AA61" s="136">
        <f>IF($W$45="","",IF($U$46&lt;&gt;$U$39,"",IF($N$47="bb",1,IF($N$47="","0",$M$50))))</f>
      </c>
      <c r="AB61" s="136">
        <f>IF($W$45="","",IF($U$54&lt;&gt;$U$39,"",IF($P$55="bb",1,IF($P$55="","0",$O$62))))</f>
      </c>
      <c r="AC61" s="136">
        <f>IF($W$45="","",IF($U$38&lt;&gt;$U$39,"",IF($P$39="bb",1,IF($P$39="","0",$Q$22))))</f>
      </c>
      <c r="AD61" s="136"/>
      <c r="AE61" s="147">
        <f t="shared" si="3"/>
        <v>0</v>
      </c>
      <c r="AF61" s="138">
        <f>IF($C39="","",'m glavni 32'!$C$39)</f>
        <v>7452</v>
      </c>
      <c r="AG61" s="140" t="str">
        <f>UPPER(IF($D$39="","",VLOOKUP($D$39,'[1]m glavni turnir žrebna lista'!$A$7:$R$38,3)))</f>
        <v>RUTAR</v>
      </c>
      <c r="AH61" s="140" t="str">
        <f>PROPER(IF($D$39="","",VLOOKUP($D$39,'[1]m glavni turnir žrebna lista'!$A$7:$R$38,4)))</f>
        <v>Matic</v>
      </c>
      <c r="AI61" s="140" t="str">
        <f>UPPER(IF($D$39="","",VLOOKUP($D$39,'[1]m glavni turnir žrebna lista'!$A$7:$R$38,5)))</f>
        <v>RADOM</v>
      </c>
      <c r="AJ61" s="147">
        <f t="shared" si="4"/>
        <v>2</v>
      </c>
    </row>
    <row r="62" spans="1:36" s="89" customFormat="1" ht="9" customHeight="1">
      <c r="A62" s="94"/>
      <c r="B62" s="95"/>
      <c r="C62" s="95"/>
      <c r="D62" s="111"/>
      <c r="E62" s="82"/>
      <c r="F62" s="82"/>
      <c r="G62" s="121"/>
      <c r="H62" s="122"/>
      <c r="I62" s="112"/>
      <c r="J62" s="82"/>
      <c r="K62" s="83"/>
      <c r="L62" s="98" t="s">
        <v>27</v>
      </c>
      <c r="M62" s="113" t="s">
        <v>31</v>
      </c>
      <c r="N62" s="100" t="str">
        <f>UPPER(IF(OR(M62="a",M62="as"),L58,IF(OR(M62="b",M62="bs"),L66,)))</f>
        <v>KVAS</v>
      </c>
      <c r="O62" s="152">
        <f>IF(OR(M62="a",M62="as"),M58,IF(OR(M62="b",M62="bs"),M66,))</f>
        <v>10</v>
      </c>
      <c r="P62" s="158"/>
      <c r="Q62" s="161"/>
      <c r="R62" s="162">
        <f>IF($R$63&gt;=310,1,IF($R$63&gt;=220,2,IF($R$63&gt;=10,3,"")))</f>
        <v>3</v>
      </c>
      <c r="S62" s="155"/>
      <c r="U62" s="35">
        <f>IF(OR(M62="a",M62="as"),U58,IF(OR(M62="b",M62="bs"),U66,""))</f>
        <v>6937</v>
      </c>
      <c r="V62" s="140">
        <v>18</v>
      </c>
      <c r="W62" s="140">
        <f>UPPER(IF($D$41="","",VLOOKUP($D$41,'[1]m glavni turnir žrebna lista'!$A$7:$R$38,3)))</f>
      </c>
      <c r="X62" s="140">
        <f>PROPER(IF($D$41="","",VLOOKUP($D$41,'[1]m glavni turnir žrebna lista'!$A$7:$R$38,4)))</f>
      </c>
      <c r="Y62" s="136">
        <f>IF(W62="","",IF($U$40&lt;&gt;$U$41,"",IF($J$41="bb",1,IF($J$41="","0",$I$39))))</f>
      </c>
      <c r="Z62" s="136">
        <f>IF($W$45="","",IF($U$42&lt;&gt;$U$41,"",IF($L$43="bb",1,IF($L$43="","0",$K$44))))</f>
      </c>
      <c r="AA62" s="136">
        <f>IF($W$45="","",IF($U$46&lt;&gt;$U$41,"",IF($N$47="bb",1,IF($N$47="","0",$M$50))))</f>
      </c>
      <c r="AB62" s="136">
        <f>IF($W$45="","",IF($U$54&lt;&gt;$U$41,"",IF($P$55="bb",1,IF($P$55="","0",$O$62))))</f>
      </c>
      <c r="AC62" s="136">
        <f>IF($W$45="","",IF($U$38&lt;&gt;$U$41,"",IF($P$39="bb",1,IF($P$39="","0",$Q$22))))</f>
      </c>
      <c r="AD62" s="136"/>
      <c r="AE62" s="147">
        <f t="shared" si="3"/>
        <v>0</v>
      </c>
      <c r="AF62" s="138">
        <f>IF($C41="","",'m glavni 32'!$C$41)</f>
      </c>
      <c r="AG62" s="140">
        <f>UPPER(IF($D$41="","",VLOOKUP($D$41,'[1]m glavni turnir žrebna lista'!$A$7:$R$38,3)))</f>
      </c>
      <c r="AH62" s="140">
        <f>PROPER(IF($D$41="","",VLOOKUP($D$41,'[1]m glavni turnir žrebna lista'!$A$7:$R$38,4)))</f>
      </c>
      <c r="AI62" s="140">
        <f>UPPER(IF($D$41="","",VLOOKUP($D$41,'[1]m glavni turnir žrebna lista'!$A$7:$R$38,5)))</f>
      </c>
      <c r="AJ62" s="147">
        <f t="shared" si="4"/>
        <v>0</v>
      </c>
    </row>
    <row r="63" spans="1:36" s="89" customFormat="1" ht="9" customHeight="1">
      <c r="A63" s="94">
        <v>29</v>
      </c>
      <c r="B63" s="106" t="s">
        <v>26</v>
      </c>
      <c r="C63" s="106">
        <f>IF($D63="","",VLOOKUP($D63,'[1]m glavni turnir žrebna lista'!$A$7:$R$38,2))</f>
        <v>6937</v>
      </c>
      <c r="D63" s="80">
        <v>12</v>
      </c>
      <c r="E63" s="107" t="str">
        <f>UPPER(IF($D63="","",VLOOKUP($D63,'[1]m glavni turnir žrebna lista'!$A$7:$R$38,3)))</f>
        <v>KVAS</v>
      </c>
      <c r="F63" s="107" t="str">
        <f>PROPER(IF($D63="","",VLOOKUP($D63,'[1]m glavni turnir žrebna lista'!$A$7:$R$38,4)))</f>
        <v>Miha</v>
      </c>
      <c r="G63" s="107"/>
      <c r="H63" s="107" t="str">
        <f>IF($D63="","",VLOOKUP($D63,'[1]m glavni turnir žrebna lista'!$A$7:$R$38,5))</f>
        <v>BR-MB</v>
      </c>
      <c r="I63" s="81">
        <f>IF($D63="","",VLOOKUP($D63,'[1]m glavni turnir žrebna lista'!$A$7:$R$38,14))</f>
        <v>10</v>
      </c>
      <c r="J63" s="82"/>
      <c r="K63" s="83"/>
      <c r="L63" s="82"/>
      <c r="M63" s="119"/>
      <c r="N63" s="109" t="s">
        <v>48</v>
      </c>
      <c r="O63" s="116"/>
      <c r="P63" s="163" t="s">
        <v>49</v>
      </c>
      <c r="Q63" s="164">
        <f>MIN(J4,R62)</f>
        <v>3</v>
      </c>
      <c r="R63" s="162">
        <f>SUM(LARGE(H72:H79,{1}),LARGE(H72:H79,{2}),LARGE(H72:H79,{3}),LARGE(H72:H79,{4}))</f>
        <v>40</v>
      </c>
      <c r="S63" s="155"/>
      <c r="U63" s="35">
        <f>IF($D63="","",VLOOKUP($D63,'[1]m glavni turnir žrebna lista'!$A$7:$R$38,2))</f>
        <v>6937</v>
      </c>
      <c r="V63" s="140">
        <v>19</v>
      </c>
      <c r="W63" s="140" t="str">
        <f>UPPER(IF($D$43="","",VLOOKUP($D$43,'[1]m glavni turnir žrebna lista'!$A$7:$R$38,3)))</f>
        <v>JUSTIN</v>
      </c>
      <c r="X63" s="140" t="str">
        <f>PROPER(IF($D$43="","",VLOOKUP($D$43,'[1]m glavni turnir žrebna lista'!$A$7:$R$38,4)))</f>
        <v>Urh</v>
      </c>
      <c r="Y63" s="136" t="str">
        <f>IF(W63="","",IF($U$44&lt;&gt;$U$43,"",IF($J$45="bb",1,IF($J$45="","0",$I$45))))</f>
        <v>0</v>
      </c>
      <c r="Z63" s="136">
        <f>IF($W$45="","",IF($U$42&lt;&gt;$U$43,"",IF($L$43="bb",1,IF($L$43="","0",$K$40))))</f>
        <v>10</v>
      </c>
      <c r="AA63" s="136">
        <f>IF($W$45="","",IF($U$46&lt;&gt;$U$43,"",IF($N$47="bb",1,IF($N$47="","0",$M$50))))</f>
        <v>10</v>
      </c>
      <c r="AB63" s="136">
        <f>IF($W$45="","",IF($U$54&lt;&gt;$U$43,"",IF($P$55="bb",1,IF($P$55="","0",$O$62))))</f>
        <v>10</v>
      </c>
      <c r="AC63" s="136">
        <f>IF($W$45="","",IF($U$38&lt;&gt;$U$43,"",IF($P$39="bb",1,IF($P$39="","0",$Q$22))))</f>
      </c>
      <c r="AD63" s="136"/>
      <c r="AE63" s="147">
        <f t="shared" si="3"/>
        <v>3</v>
      </c>
      <c r="AF63" s="138">
        <f>IF($C43="","",'m glavni 32'!$C$43)</f>
        <v>6863</v>
      </c>
      <c r="AG63" s="140" t="str">
        <f>UPPER(IF($D$43="","",VLOOKUP($D$43,'[1]m glavni turnir žrebna lista'!$A$7:$R$38,3)))</f>
        <v>JUSTIN</v>
      </c>
      <c r="AH63" s="140" t="str">
        <f>PROPER(IF($D$43="","",VLOOKUP($D$43,'[1]m glavni turnir žrebna lista'!$A$7:$R$38,4)))</f>
        <v>Urh</v>
      </c>
      <c r="AI63" s="140" t="str">
        <f>UPPER(IF($D$43="","",VLOOKUP($D$43,'[1]m glavni turnir žrebna lista'!$A$7:$R$38,5)))</f>
        <v>TOPOL</v>
      </c>
      <c r="AJ63" s="147">
        <f t="shared" si="4"/>
        <v>15</v>
      </c>
    </row>
    <row r="64" spans="1:36" s="89" customFormat="1" ht="9" customHeight="1">
      <c r="A64" s="94"/>
      <c r="B64" s="95"/>
      <c r="C64" s="95"/>
      <c r="D64" s="111"/>
      <c r="E64" s="96"/>
      <c r="F64" s="96"/>
      <c r="G64" s="97"/>
      <c r="H64" s="98" t="s">
        <v>27</v>
      </c>
      <c r="I64" s="99" t="s">
        <v>28</v>
      </c>
      <c r="J64" s="100" t="str">
        <f>UPPER(IF(OR(I64="a",I64="as"),E63,IF(OR(I64="b",I64="bs"),E65,)))</f>
        <v>KVAS</v>
      </c>
      <c r="K64" s="101">
        <f>IF(OR(I64="a",I64="as"),I63,IF(OR(I64="b",I64="bs"),I65,))</f>
        <v>10</v>
      </c>
      <c r="L64" s="82"/>
      <c r="M64" s="119"/>
      <c r="N64" s="115"/>
      <c r="O64" s="116"/>
      <c r="P64" s="165" t="s">
        <v>50</v>
      </c>
      <c r="Q64" s="166">
        <f>IF($C$2="B turnir",16,IF($Q$63=1,480,IF($Q$63=2,240,IF($Q$63=3,160,""))))</f>
        <v>16</v>
      </c>
      <c r="R64" s="88"/>
      <c r="S64" s="155"/>
      <c r="U64" s="35">
        <f>IF(OR(I64="a",I64="as"),C63,IF(OR(I64="b",I64="bs"),C65,""))</f>
        <v>6937</v>
      </c>
      <c r="V64" s="140">
        <v>20</v>
      </c>
      <c r="W64" s="140">
        <f>UPPER(IF($D$45="","",VLOOKUP($D$45,'[1]m glavni turnir žrebna lista'!$A$7:$R$38,3)))</f>
      </c>
      <c r="X64" s="140">
        <f>PROPER(IF($D$45="","",VLOOKUP($D$45,'[1]m glavni turnir žrebna lista'!$A$7:$R$38,4)))</f>
      </c>
      <c r="Y64" s="136">
        <f>IF(W64="","",IF($U$44&lt;&gt;$U$45,"",IF($J$45="bb",1,IF($J$45="","0",$I$43))))</f>
      </c>
      <c r="Z64" s="136">
        <f>IF($W$45="","",IF($U$42&lt;&gt;$U$45,"",IF($L$43="bb",1,IF($L$43="","0",$K$40))))</f>
      </c>
      <c r="AA64" s="136">
        <f>IF($W$45="","",IF($U$46&lt;&gt;$U$45,"",IF($N$47="bb",1,IF($N$47="","0",$M$50))))</f>
      </c>
      <c r="AB64" s="136">
        <f>IF($W$45="","",IF($U$54&lt;&gt;$U$45,"",IF($P$55="bb",1,IF($P$55="","0",$O$62))))</f>
      </c>
      <c r="AC64" s="136">
        <f>IF($W$45="","",IF($U$38&lt;&gt;$U$45,"",IF($P$39="bb",1,IF($P$39="","0",$Q$22))))</f>
      </c>
      <c r="AD64" s="136"/>
      <c r="AE64" s="147">
        <f t="shared" si="3"/>
        <v>0</v>
      </c>
      <c r="AF64" s="138">
        <f>IF($C45="","",'m glavni 32'!$C$45)</f>
      </c>
      <c r="AG64" s="140">
        <f>UPPER(IF($D$45="","",VLOOKUP($D$45,'[1]m glavni turnir žrebna lista'!$A$7:$R$38,3)))</f>
      </c>
      <c r="AH64" s="140">
        <f>PROPER(IF($D$45="","",VLOOKUP($D$45,'[1]m glavni turnir žrebna lista'!$A$7:$R$38,4)))</f>
      </c>
      <c r="AI64" s="140">
        <f>UPPER(IF($D$45="","",VLOOKUP($D$45,'[1]m glavni turnir žrebna lista'!$A$7:$R$38,5)))</f>
      </c>
      <c r="AJ64" s="147">
        <f t="shared" si="4"/>
        <v>0</v>
      </c>
    </row>
    <row r="65" spans="1:36" s="89" customFormat="1" ht="9" customHeight="1">
      <c r="A65" s="94">
        <v>30</v>
      </c>
      <c r="B65" s="106">
        <f>IF($D65="","",VLOOKUP($D65,'[1]m glavni turnir žrebna lista'!$A$7:$R$38,17))</f>
      </c>
      <c r="C65" s="106">
        <f>IF($D65="","",VLOOKUP($D65,'[1]m glavni turnir žrebna lista'!$A$7:$R$38,2))</f>
      </c>
      <c r="D65" s="80"/>
      <c r="E65" s="107" t="s">
        <v>29</v>
      </c>
      <c r="F65" s="107">
        <f>PROPER(IF($D65="","",VLOOKUP($D65,'[1]m glavni turnir žrebna lista'!$A$7:$R$38,4)))</f>
      </c>
      <c r="G65" s="107"/>
      <c r="H65" s="107">
        <f>IF($D65="","",VLOOKUP($D65,'[1]m glavni turnir žrebna lista'!$A$7:$R$38,5))</f>
      </c>
      <c r="I65" s="108">
        <f>IF($D65="","",VLOOKUP($D65,'[1]m glavni turnir žrebna lista'!$A$7:$R$38,14))</f>
      </c>
      <c r="J65" s="109"/>
      <c r="K65" s="110"/>
      <c r="L65" s="82"/>
      <c r="M65" s="119"/>
      <c r="N65" s="115"/>
      <c r="O65" s="116"/>
      <c r="P65" s="167" t="s">
        <v>51</v>
      </c>
      <c r="Q65" s="168">
        <f>IF($C$2="B turnir",12,IF($Q$63=1,360,IF($Q$63=2,180,IF($Q$63=3,120,""))))</f>
        <v>12</v>
      </c>
      <c r="R65" s="88"/>
      <c r="S65" s="155"/>
      <c r="U65" s="35">
        <f>IF($D65="","",VLOOKUP($D65,'[1]m glavni turnir žrebna lista'!$A$7:$R$38,2))</f>
      </c>
      <c r="V65" s="140">
        <v>21</v>
      </c>
      <c r="W65" s="140" t="str">
        <f>UPPER(IF($D$47="","",VLOOKUP($D$47,'[1]m glavni turnir žrebna lista'!$A$7:$R$38,3)))</f>
        <v>KOŠTOMAJ</v>
      </c>
      <c r="X65" s="140" t="str">
        <f>PROPER(IF($D$47="","",VLOOKUP($D$47,'[1]m glavni turnir žrebna lista'!$A$7:$R$38,4)))</f>
        <v>Klemen</v>
      </c>
      <c r="Y65" s="136" t="str">
        <f>IF(W65="","",IF($U$48&lt;&gt;$U$47,"",IF($J$49="bb",1,IF($J$49="","0",$I$49))))</f>
        <v>0</v>
      </c>
      <c r="Z65" s="136">
        <f>IF($W$45="","",IF($U$50&lt;&gt;$U$47,"",IF($L$51="bb",1,IF($L$51="","0",$K$52))))</f>
      </c>
      <c r="AA65" s="136">
        <f>IF($W$45="","",IF($U$46&lt;&gt;$U$47,"",IF($N$47="bb",1,IF($N$47="","0",$M$42))))</f>
      </c>
      <c r="AB65" s="136">
        <f>IF($W$45="","",IF($U$54&lt;&gt;$U$47,"",IF($P$55="bb",1,IF($P$55="","0",$O$62))))</f>
      </c>
      <c r="AC65" s="136">
        <f>IF($W$45="","",IF($U$38&lt;&gt;$U$47,"",IF($P$39="bb",1,IF($P$39="","0",$Q$22))))</f>
      </c>
      <c r="AD65" s="136"/>
      <c r="AE65" s="147">
        <f t="shared" si="3"/>
        <v>0</v>
      </c>
      <c r="AF65" s="138">
        <f>IF($C47="","",'m glavni 32'!$C$47)</f>
        <v>7783</v>
      </c>
      <c r="AG65" s="140" t="str">
        <f>UPPER(IF($D$47="","",VLOOKUP($D$47,'[1]m glavni turnir žrebna lista'!$A$7:$R$38,3)))</f>
        <v>KOŠTOMAJ</v>
      </c>
      <c r="AH65" s="140" t="str">
        <f>PROPER(IF($D$47="","",VLOOKUP($D$47,'[1]m glavni turnir žrebna lista'!$A$7:$R$38,4)))</f>
        <v>Klemen</v>
      </c>
      <c r="AI65" s="140" t="str">
        <f>UPPER(IF($D$47="","",VLOOKUP($D$47,'[1]m glavni turnir žrebna lista'!$A$7:$R$38,5)))</f>
        <v>JEZER</v>
      </c>
      <c r="AJ65" s="147">
        <f t="shared" si="4"/>
        <v>2</v>
      </c>
    </row>
    <row r="66" spans="1:36" s="89" customFormat="1" ht="9" customHeight="1">
      <c r="A66" s="94"/>
      <c r="B66" s="95"/>
      <c r="C66" s="95"/>
      <c r="D66" s="111"/>
      <c r="E66" s="96"/>
      <c r="F66" s="96"/>
      <c r="G66" s="97"/>
      <c r="H66" s="82"/>
      <c r="I66" s="112"/>
      <c r="J66" s="98" t="s">
        <v>27</v>
      </c>
      <c r="K66" s="113" t="s">
        <v>28</v>
      </c>
      <c r="L66" s="100" t="str">
        <f>UPPER(IF(OR(K66="a",K66="as"),J64,IF(OR(K66="b",K66="bs"),J68,)))</f>
        <v>KVAS</v>
      </c>
      <c r="M66" s="125">
        <f>IF(OR(K66="a",K66="as"),K64,IF(OR(K66="b",K66="bs"),K68,))</f>
        <v>10</v>
      </c>
      <c r="N66" s="115"/>
      <c r="O66" s="116"/>
      <c r="P66" s="167" t="s">
        <v>52</v>
      </c>
      <c r="Q66" s="168">
        <f>IF($C$2="B turnir",8,IF($Q$63=1,240,IF($Q$63=2,120,IF($Q$63=3,80,""))))</f>
        <v>8</v>
      </c>
      <c r="R66" s="88"/>
      <c r="S66" s="155"/>
      <c r="U66" s="35">
        <f>IF(OR(K66="a",K66="as"),U64,IF(OR(K66="b",K66="bs"),U68,""))</f>
        <v>6937</v>
      </c>
      <c r="V66" s="140">
        <v>22</v>
      </c>
      <c r="W66" s="140">
        <f>UPPER(IF($D$49="","",VLOOKUP($D$49,'[1]m glavni turnir žrebna lista'!$A$7:$R$38,3)))</f>
      </c>
      <c r="X66" s="140">
        <f>PROPER(IF($D$49="","",VLOOKUP($D$49,'[1]m glavni turnir žrebna lista'!$A$7:$R$38,4)))</f>
      </c>
      <c r="Y66" s="136">
        <f>IF(W66="","",IF($U$48&lt;&gt;$U$49,"",IF($J$49="bb",1,IF($J$49="","0",$I$47))))</f>
      </c>
      <c r="Z66" s="136">
        <f>IF($W$45="","",IF($U$50&lt;&gt;$U$49,"",IF($L$51="bb",1,IF($L$51="","0",$K$52))))</f>
      </c>
      <c r="AA66" s="136">
        <f>IF($W$45="","",IF($U$46&lt;&gt;$U$49,"",IF($N$47="bb",1,IF($N$47="","0",$M$42))))</f>
      </c>
      <c r="AB66" s="136">
        <f>IF($W$45="","",IF($U$54&lt;&gt;$U$49,"",IF($P$55="bb",1,IF($P$55="","0",$O$62))))</f>
      </c>
      <c r="AC66" s="136">
        <f>IF($W$45="","",IF($U$38&lt;&gt;$U$49,"",IF($P$39="bb",1,IF($P$39="","0",$Q$22))))</f>
      </c>
      <c r="AD66" s="136"/>
      <c r="AE66" s="147">
        <f t="shared" si="3"/>
        <v>0</v>
      </c>
      <c r="AF66" s="138">
        <f>IF($C49="","",'m glavni 32'!$C$49)</f>
      </c>
      <c r="AG66" s="140">
        <f>UPPER(IF($D$49="","",VLOOKUP($D$49,'[1]m glavni turnir žrebna lista'!$A$7:$R$38,3)))</f>
      </c>
      <c r="AH66" s="140">
        <f>PROPER(IF($D$49="","",VLOOKUP($D$49,'[1]m glavni turnir žrebna lista'!$A$7:$R$38,4)))</f>
      </c>
      <c r="AI66" s="140">
        <f>UPPER(IF($D$49="","",VLOOKUP($D49,'[1]m glavni turnir žrebna lista'!$A$7:$R$38,5)))</f>
      </c>
      <c r="AJ66" s="147">
        <f t="shared" si="4"/>
        <v>0</v>
      </c>
    </row>
    <row r="67" spans="1:36" s="89" customFormat="1" ht="9" customHeight="1">
      <c r="A67" s="94">
        <v>31</v>
      </c>
      <c r="B67" s="106">
        <f>IF($D67="","",VLOOKUP($D67,'[1]m glavni turnir žrebna lista'!$A$7:$R$38,17))</f>
      </c>
      <c r="C67" s="106">
        <f>IF($D67="","",VLOOKUP($D67,'[1]m glavni turnir žrebna lista'!$A$7:$R$38,2))</f>
      </c>
      <c r="D67" s="80"/>
      <c r="E67" s="107" t="s">
        <v>29</v>
      </c>
      <c r="F67" s="107">
        <f>PROPER(IF($D67="","",VLOOKUP($D67,'[1]m glavni turnir žrebna lista'!$A$7:$R$38,4)))</f>
      </c>
      <c r="G67" s="107"/>
      <c r="H67" s="107">
        <f>IF($D67="","",VLOOKUP($D67,'[1]m glavni turnir žrebna lista'!$A$7:$R$38,5))</f>
      </c>
      <c r="I67" s="81">
        <f>IF($D67="","",VLOOKUP($D67,'[1]m glavni turnir žrebna lista'!$A$7:$R$38,14))</f>
      </c>
      <c r="J67" s="82"/>
      <c r="K67" s="118"/>
      <c r="L67" s="109" t="s">
        <v>53</v>
      </c>
      <c r="M67" s="116"/>
      <c r="N67" s="115"/>
      <c r="O67" s="116"/>
      <c r="P67" s="167" t="s">
        <v>54</v>
      </c>
      <c r="Q67" s="168">
        <f>IF($C$2="B turnir",4,IF($Q$63=1,120,IF($Q$63=2,60,IF($Q$63=3,40,""))))</f>
        <v>4</v>
      </c>
      <c r="R67" s="88"/>
      <c r="S67" s="155"/>
      <c r="U67" s="35">
        <f>IF($D67="","",VLOOKUP($D67,'[1]m glavni turnir žrebna lista'!$A$7:$R$38,2))</f>
      </c>
      <c r="V67" s="140">
        <v>23</v>
      </c>
      <c r="W67" s="140">
        <f>UPPER(IF($D$51="","",VLOOKUP($D$51,'[1]m glavni turnir žrebna lista'!$A$7:$R$38,3)))</f>
      </c>
      <c r="X67" s="140">
        <f>PROPER(IF($D$51="","",VLOOKUP($D$51,'[1]m glavni turnir žrebna lista'!$A$7:$R$38,4)))</f>
      </c>
      <c r="Y67" s="136">
        <f>IF(W67="","",IF($U$52&lt;&gt;$U$51,"",IF($J$53="bb",1,IF($J$53="","0",$I$53))))</f>
      </c>
      <c r="Z67" s="136">
        <f>IF($W$45="","",IF($U$50&lt;&gt;$U$51,"",IF($L$51="bb",1,IF($L$51="","0",$K$48))))</f>
      </c>
      <c r="AA67" s="136">
        <f>IF($W$45="","",IF($U$46&lt;&gt;$U$51,"",IF($N$47="bb",1,IF($N$47="","0",$M$42))))</f>
      </c>
      <c r="AB67" s="136">
        <f>IF($W$45="","",IF($U$54&lt;&gt;$U$51,"",IF($P$55="bb",1,IF($P$55="","0",$O$62))))</f>
      </c>
      <c r="AC67" s="136">
        <f>IF($W$45="","",IF($U$38&lt;&gt;$U$51,"",IF($P$39="bb",1,IF($P$39="","0",$Q$22))))</f>
      </c>
      <c r="AD67" s="136"/>
      <c r="AE67" s="147">
        <f t="shared" si="3"/>
        <v>0</v>
      </c>
      <c r="AF67" s="138">
        <f>IF($C51="","",'m glavni 32'!$C$51)</f>
      </c>
      <c r="AG67" s="140">
        <f>UPPER(IF($D$51="","",VLOOKUP($D$51,'[1]m glavni turnir žrebna lista'!$A$7:$R$38,3)))</f>
      </c>
      <c r="AH67" s="140">
        <f>PROPER(IF($D$51="","",VLOOKUP($D$51,'[1]m glavni turnir žrebna lista'!$A$7:$R$38,4)))</f>
      </c>
      <c r="AI67" s="140">
        <f>UPPER(IF($D$51="","",VLOOKUP($D$51,'[1]m glavni turnir žrebna lista'!$A$7:$R$38,5)))</f>
      </c>
      <c r="AJ67" s="147">
        <f t="shared" si="4"/>
        <v>0</v>
      </c>
    </row>
    <row r="68" spans="1:36" s="89" customFormat="1" ht="9" customHeight="1">
      <c r="A68" s="94"/>
      <c r="B68" s="95"/>
      <c r="C68" s="95"/>
      <c r="D68" s="95"/>
      <c r="E68" s="96"/>
      <c r="F68" s="96"/>
      <c r="G68" s="97"/>
      <c r="H68" s="98" t="s">
        <v>27</v>
      </c>
      <c r="I68" s="99" t="s">
        <v>33</v>
      </c>
      <c r="J68" s="100" t="str">
        <f>UPPER(IF(OR(I68="a",I68="as"),E67,IF(OR(I68="b",I68="bs"),E69,)))</f>
        <v>PETERLIN</v>
      </c>
      <c r="K68" s="120">
        <f>IF(OR(I68="a",I68="as"),I67,IF(OR(I68="b",I68="bs"),I69,))</f>
        <v>10</v>
      </c>
      <c r="L68" s="82"/>
      <c r="M68" s="116"/>
      <c r="N68" s="115"/>
      <c r="O68" s="116"/>
      <c r="P68" s="167" t="s">
        <v>55</v>
      </c>
      <c r="Q68" s="168">
        <f>IF($C$2="B turnir",2,IF($Q$63=1,60,IF($Q$63=2,30,IF($Q$63=3,20,""))))</f>
        <v>2</v>
      </c>
      <c r="R68" s="88"/>
      <c r="S68" s="155"/>
      <c r="U68" s="35">
        <f>IF(OR(I68="a",I68="as"),C67,IF(OR(I68="b",I68="bs"),C69,""))</f>
        <v>7106</v>
      </c>
      <c r="V68" s="140">
        <v>24</v>
      </c>
      <c r="W68" s="140" t="str">
        <f>UPPER(IF($D$53="","",VLOOKUP($D$53,'[1]m glavni turnir žrebna lista'!$A$7:$R$38,3)))</f>
        <v>CAF</v>
      </c>
      <c r="X68" s="140" t="str">
        <f>PROPER(IF($D$53="","",VLOOKUP($D$53,'[1]m glavni turnir žrebna lista'!$A$7:$R$38,4)))</f>
        <v>Gregor</v>
      </c>
      <c r="Y68" s="136" t="str">
        <f>IF(W68="","",IF($U$52&lt;&gt;$U$53,"",IF($J$53="bb",1,IF($J$53="","0",$I$51))))</f>
        <v>0</v>
      </c>
      <c r="Z68" s="136">
        <f>IF($W$45="","",IF($U$50&lt;&gt;$U$53,"",IF($L$51="bb",1,IF($L$51="","0",$K$48))))</f>
        <v>10</v>
      </c>
      <c r="AA68" s="136">
        <f>IF($W$45="","",IF($U$46&lt;&gt;$U$53,"",IF($N$47="bb",1,IF($N$47="","0",$M$42))))</f>
      </c>
      <c r="AB68" s="136">
        <f>IF($W$45="","",IF($U$54&lt;&gt;$U$53,"",IF($P$55="bb",1,IF($P$55="","0",$O$62))))</f>
      </c>
      <c r="AC68" s="136">
        <f>IF($W$45="","",IF($U$38&lt;&gt;$U$53,"",IF($P$39="bb",1,IF($P$39="","0",$Q$22))))</f>
      </c>
      <c r="AD68" s="136"/>
      <c r="AE68" s="147">
        <f t="shared" si="3"/>
        <v>1</v>
      </c>
      <c r="AF68" s="138">
        <f>IF($C53="","",'m glavni 32'!$C$53)</f>
        <v>7349</v>
      </c>
      <c r="AG68" s="140" t="str">
        <f>UPPER(IF($D$53="","",VLOOKUP($D$53,'[1]m glavni turnir žrebna lista'!$A$7:$R$38,3)))</f>
        <v>CAF</v>
      </c>
      <c r="AH68" s="140" t="str">
        <f>PROPER(IF($D$53="","",VLOOKUP($D$53,'[1]m glavni turnir žrebna lista'!$A$7:$R$38,4)))</f>
        <v>Gregor</v>
      </c>
      <c r="AI68" s="140" t="str">
        <f>UPPER(IF($D$53="","",VLOOKUP($D$53,'[1]m glavni turnir žrebna lista'!$A$7:$R$38,5)))</f>
        <v>ŽTKMB</v>
      </c>
      <c r="AJ68" s="147">
        <f t="shared" si="4"/>
        <v>5</v>
      </c>
    </row>
    <row r="69" spans="1:36" s="89" customFormat="1" ht="9" customHeight="1">
      <c r="A69" s="78">
        <v>32</v>
      </c>
      <c r="B69" s="79" t="s">
        <v>26</v>
      </c>
      <c r="C69" s="79">
        <f>IF($D69="","",VLOOKUP($D69,'[1]m glavni turnir žrebna lista'!$A$7:$R$38,2))</f>
        <v>7106</v>
      </c>
      <c r="D69" s="80">
        <v>2</v>
      </c>
      <c r="E69" s="79" t="str">
        <f>UPPER(IF($D69="","",VLOOKUP($D69,'[1]m glavni turnir žrebna lista'!$A$7:$R$38,3)))</f>
        <v>PETERLIN</v>
      </c>
      <c r="F69" s="79" t="str">
        <f>PROPER(IF($D69="","",VLOOKUP($D69,'[1]m glavni turnir žrebna lista'!$A$7:$R$38,4)))</f>
        <v>Matic</v>
      </c>
      <c r="G69" s="79"/>
      <c r="H69" s="79" t="str">
        <f>IF($D69="","",VLOOKUP($D69,'[1]m glavni turnir žrebna lista'!$A$7:$R$38,5))</f>
        <v>ZKLUB</v>
      </c>
      <c r="I69" s="108">
        <f>IF($D69="","",VLOOKUP($D69,'[1]m glavni turnir žrebna lista'!$A$7:$R$38,14))</f>
        <v>10</v>
      </c>
      <c r="J69" s="109"/>
      <c r="K69" s="83"/>
      <c r="L69" s="82"/>
      <c r="M69" s="83"/>
      <c r="N69" s="84"/>
      <c r="O69" s="85"/>
      <c r="P69" s="167" t="s">
        <v>56</v>
      </c>
      <c r="Q69" s="168">
        <f>IF($C$2="B turnir",1,IF($Q$63=1,30,IF($Q$63=2,15,IF($Q$63=3,10,""))))</f>
        <v>1</v>
      </c>
      <c r="R69" s="88"/>
      <c r="U69" s="35">
        <f>IF($D69="","",VLOOKUP($D69,'[1]m glavni turnir žrebna lista'!$A$7:$R$38,2))</f>
        <v>7106</v>
      </c>
      <c r="V69" s="140">
        <v>25</v>
      </c>
      <c r="W69" s="140" t="str">
        <f>UPPER(IF($D$55="","",VLOOKUP($D$55,'[1]m glavni turnir žrebna lista'!$A$7:$R$38,3)))</f>
        <v>DOLENC</v>
      </c>
      <c r="X69" s="140" t="str">
        <f>PROPER(IF($D$55="","",VLOOKUP($D$55,'[1]m glavni turnir žrebna lista'!$A$7:$R$38,4)))</f>
        <v>Anže</v>
      </c>
      <c r="Y69" s="136" t="str">
        <f>IF(W69="","",IF($U$56&lt;&gt;$U$55,"",IF($J$57="bb",1,IF($J$57="","0",$I$57))))</f>
        <v>0</v>
      </c>
      <c r="Z69" s="136">
        <f>IF($W$45="","",IF($U$58&lt;&gt;$U$55,"",IF($L$59="bb",1,IF($L$59="","0",$K$60))))</f>
      </c>
      <c r="AA69" s="136">
        <f>IF($W$45="","",IF($U$62&lt;&gt;$U$55,"",IF($N$63="bb",1,IF($N$63="","0",$M$66))))</f>
      </c>
      <c r="AB69" s="136">
        <f>IF($W$45="","",IF($U$54&lt;&gt;$U$55,"",IF($P$55="bb",1,IF($P$55="","0",$O$46))))</f>
      </c>
      <c r="AC69" s="136">
        <f>IF($W$45="","",IF($U$38&lt;&gt;$U$55,"",IF($P$39="bb",1,IF($P$39="","0",$Q$22))))</f>
      </c>
      <c r="AD69" s="136"/>
      <c r="AE69" s="147">
        <f t="shared" si="3"/>
        <v>0</v>
      </c>
      <c r="AF69" s="138">
        <f>IF($C55="","",'m glavni 32'!$C$55)</f>
        <v>7802</v>
      </c>
      <c r="AG69" s="140" t="str">
        <f>UPPER(IF($D$55="","",VLOOKUP($D$55,'[1]m glavni turnir žrebna lista'!$A$7:$R$38,3)))</f>
        <v>DOLENC</v>
      </c>
      <c r="AH69" s="140" t="str">
        <f>PROPER(IF($D$55="","",VLOOKUP($D$55,'[1]m glavni turnir žrebna lista'!$A$7:$R$38,4)))</f>
        <v>Anže</v>
      </c>
      <c r="AI69" s="140" t="str">
        <f>UPPER(IF($D$55="","",VLOOKUP($D$55,'[1]m glavni turnir žrebna lista'!$A$7:$R$38,5)))</f>
        <v>RADOM</v>
      </c>
      <c r="AJ69" s="147">
        <f t="shared" si="4"/>
        <v>2</v>
      </c>
    </row>
    <row r="70" spans="1:36" s="175" customFormat="1" ht="9" customHeight="1">
      <c r="A70" s="169"/>
      <c r="B70" s="169"/>
      <c r="C70" s="169"/>
      <c r="D70" s="169"/>
      <c r="E70" s="170"/>
      <c r="F70" s="170"/>
      <c r="G70" s="170"/>
      <c r="H70" s="170"/>
      <c r="I70" s="171"/>
      <c r="J70" s="172"/>
      <c r="K70" s="173"/>
      <c r="L70" s="172"/>
      <c r="M70" s="173"/>
      <c r="N70" s="172"/>
      <c r="O70" s="173"/>
      <c r="P70" s="172"/>
      <c r="Q70" s="173"/>
      <c r="R70" s="174"/>
      <c r="U70" s="35"/>
      <c r="V70" s="140">
        <v>26</v>
      </c>
      <c r="W70" s="140">
        <f>UPPER(IF($D$57="","",VLOOKUP($D$57,'[1]m glavni turnir žrebna lista'!$A$7:$R$38,3)))</f>
      </c>
      <c r="X70" s="140">
        <f>PROPER(IF($D$57="","",VLOOKUP($D$57,'[1]m glavni turnir žrebna lista'!$A$7:$R$38,4)))</f>
      </c>
      <c r="Y70" s="136">
        <f>IF(W70="","",IF($U$56&lt;&gt;$U$57,"",IF($J$57="bb",1,IF($J$57="","0",$I$55))))</f>
      </c>
      <c r="Z70" s="136">
        <f>IF($W$45="","",IF($U$58&lt;&gt;$U$57,"",IF($L$59="bb",1,IF($L$59="","0",$K$60))))</f>
      </c>
      <c r="AA70" s="136">
        <f>IF($W$45="","",IF($U$62&lt;&gt;$U$57,"",IF($N$63="bb",1,IF($N$63="","0",$M$66))))</f>
      </c>
      <c r="AB70" s="136">
        <f>IF($W$45="","",IF($U$54&lt;&gt;$U$57,"",IF($P$55="bb",1,IF($P$55="","0",$O$46))))</f>
      </c>
      <c r="AC70" s="136">
        <f>IF($W$45="","",IF($U$38&lt;&gt;$U$57,"",IF($P$39="bb",1,IF($P$39="","0",$Q$22))))</f>
      </c>
      <c r="AD70" s="136"/>
      <c r="AE70" s="147">
        <f t="shared" si="3"/>
        <v>0</v>
      </c>
      <c r="AF70" s="138">
        <f>IF($C57="","",'m glavni 32'!$C$57)</f>
      </c>
      <c r="AG70" s="140">
        <f>UPPER(IF($D$57="","",VLOOKUP($D$57,'[1]m glavni turnir žrebna lista'!$A$7:$R$38,3)))</f>
      </c>
      <c r="AH70" s="140">
        <f>PROPER(IF($D$57="","",VLOOKUP($D$57,'[1]m glavni turnir žrebna lista'!$A$7:$R$38,4)))</f>
      </c>
      <c r="AI70" s="140">
        <f>UPPER(IF($D$57="","",VLOOKUP($D$57,'[1]m glavni turnir žrebna lista'!$A$7:$R$38,5)))</f>
      </c>
      <c r="AJ70" s="147">
        <f t="shared" si="4"/>
        <v>0</v>
      </c>
    </row>
    <row r="71" spans="1:36" s="190" customFormat="1" ht="9" customHeight="1">
      <c r="A71" s="176" t="s">
        <v>57</v>
      </c>
      <c r="B71" s="177"/>
      <c r="C71" s="178"/>
      <c r="D71" s="179" t="s">
        <v>58</v>
      </c>
      <c r="E71" s="180" t="s">
        <v>59</v>
      </c>
      <c r="F71" s="179"/>
      <c r="G71" s="179" t="s">
        <v>60</v>
      </c>
      <c r="H71" s="181" t="s">
        <v>61</v>
      </c>
      <c r="I71" s="182" t="s">
        <v>58</v>
      </c>
      <c r="J71" s="180" t="s">
        <v>62</v>
      </c>
      <c r="K71" s="183"/>
      <c r="L71" s="184" t="s">
        <v>63</v>
      </c>
      <c r="M71" s="185"/>
      <c r="N71" s="186" t="s">
        <v>64</v>
      </c>
      <c r="O71" s="187"/>
      <c r="P71" s="188" t="s">
        <v>65</v>
      </c>
      <c r="Q71" s="189"/>
      <c r="U71" s="35"/>
      <c r="V71" s="140">
        <v>27</v>
      </c>
      <c r="W71" s="140" t="str">
        <f>UPPER(IF($D$59="","",VLOOKUP($D$59,'[1]m glavni turnir žrebna lista'!$A$7:$R$38,3)))</f>
        <v>PURIĆ</v>
      </c>
      <c r="X71" s="140" t="str">
        <f>PROPER(IF($D$59="","",VLOOKUP($D$59,'[1]m glavni turnir žrebna lista'!$A$7:$R$38,4)))</f>
        <v>Dorian</v>
      </c>
      <c r="Y71" s="136">
        <f>IF(W71="","",IF($U$60&lt;&gt;$U$59,"",IF($J$61="bb",1,IF($J$61="","0",$I$61))))</f>
        <v>10</v>
      </c>
      <c r="Z71" s="136">
        <f>IF($W$45="","",IF($U$58&lt;&gt;$U$59,"",IF($L$59="bb",1,IF($L$59="","0",$K$56))))</f>
        <v>10</v>
      </c>
      <c r="AA71" s="136">
        <f>IF($W$45="","",IF($U$62&lt;&gt;$U$59,"",IF($N$63="bb",1,IF($N$63="","0",$M$66))))</f>
      </c>
      <c r="AB71" s="136">
        <f>IF($W$45="","",IF($U$54&lt;&gt;$U$59,"",IF($P$55="bb",1,IF($P$55="","0",$O$46))))</f>
      </c>
      <c r="AC71" s="136">
        <f>IF($W$45="","",IF($U$38&lt;&gt;$U$59,"",IF($P$39="bb",1,IF($P$39="","0",$Q$22))))</f>
      </c>
      <c r="AD71" s="136"/>
      <c r="AE71" s="147">
        <f t="shared" si="3"/>
        <v>2</v>
      </c>
      <c r="AF71" s="138">
        <f>IF($C59="","",'m glavni 32'!$C$59)</f>
        <v>7786</v>
      </c>
      <c r="AG71" s="140" t="str">
        <f>UPPER(IF($D$59="","",VLOOKUP($D$59,'[1]m glavni turnir žrebna lista'!$A$7:$R$38,3)))</f>
        <v>PURIĆ</v>
      </c>
      <c r="AH71" s="140" t="str">
        <f>PROPER(IF($D$59="","",VLOOKUP($D$59,'[1]m glavni turnir žrebna lista'!$A$7:$R$38,4)))</f>
        <v>Dorian</v>
      </c>
      <c r="AI71" s="140" t="str">
        <f>UPPER(IF($D$59="","",VLOOKUP($D$59,'[1]m glavni turnir žrebna lista'!$A$7:$R$38,5)))</f>
        <v>KOPER</v>
      </c>
      <c r="AJ71" s="147">
        <f t="shared" si="4"/>
        <v>6</v>
      </c>
    </row>
    <row r="72" spans="1:36" s="190" customFormat="1" ht="9" customHeight="1">
      <c r="A72" s="191" t="s">
        <v>4</v>
      </c>
      <c r="B72" s="192"/>
      <c r="C72" s="193"/>
      <c r="D72" s="57">
        <v>1</v>
      </c>
      <c r="E72" s="194" t="str">
        <f>UPPER(IF($D72="","",VLOOKUP($D72,'[1]m glavni turnir žrebna lista'!$A$7:$R$38,3)))</f>
        <v>BEZJAK </v>
      </c>
      <c r="F72" s="58"/>
      <c r="G72" s="195">
        <f>IF($D72="","",VLOOKUP($D72,'[1]m glavni turnir žrebna lista'!$A$7:$R$38,10))</f>
        <v>80</v>
      </c>
      <c r="H72" s="195">
        <f>IF($D72="","",VLOOKUP($D72,'[1]m glavni turnir žrebna lista'!$A$7:$R$38,14))</f>
        <v>10</v>
      </c>
      <c r="I72" s="196" t="s">
        <v>66</v>
      </c>
      <c r="J72" s="192"/>
      <c r="K72" s="61"/>
      <c r="L72" s="192"/>
      <c r="M72" s="197"/>
      <c r="N72" s="198" t="s">
        <v>67</v>
      </c>
      <c r="O72" s="199"/>
      <c r="P72" s="200"/>
      <c r="Q72" s="197"/>
      <c r="U72" s="35"/>
      <c r="V72" s="140">
        <v>28</v>
      </c>
      <c r="W72" s="140" t="str">
        <f>UPPER(IF($D$61="","",VLOOKUP($D$61,'[1]m glavni turnir žrebna lista'!$A$7:$R$38,3)))</f>
        <v>REBEC</v>
      </c>
      <c r="X72" s="140" t="str">
        <f>PROPER(IF($D$61="","",VLOOKUP($D$61,'[1]m glavni turnir žrebna lista'!$A$7:$R$38,4)))</f>
        <v>Gašper</v>
      </c>
      <c r="Y72" s="136">
        <f>IF(W72="","",IF($U$60&lt;&gt;$U$61,"",IF($J$61="bb",1,IF($J$61="","0",$I$59))))</f>
      </c>
      <c r="Z72" s="136">
        <f>IF($W$45="","",IF($U$58&lt;&gt;$U$61,"",IF($L$59="bb",1,IF($L$59="","0",$K$56))))</f>
      </c>
      <c r="AA72" s="136">
        <f>IF($W$45="","",IF($U$62&lt;&gt;$U$61,"",IF($N$63="bb",1,IF($N$63="","0",$M$66))))</f>
      </c>
      <c r="AB72" s="136">
        <f>IF($W$45="","",IF($U$54&lt;&gt;$U$61,"",IF($P$55="bb",1,IF($P$55="","0",$O$46))))</f>
      </c>
      <c r="AC72" s="136">
        <f>IF($W$45="","",IF($U$38&lt;&gt;$U$61,"",IF($P$39="bb",1,IF($P$39="","0",$Q$22))))</f>
      </c>
      <c r="AD72" s="136"/>
      <c r="AE72" s="147">
        <f t="shared" si="3"/>
        <v>0</v>
      </c>
      <c r="AF72" s="138">
        <f>IF($C61="","",'m glavni 32'!$C$61)</f>
        <v>7881</v>
      </c>
      <c r="AG72" s="140" t="str">
        <f>UPPER(IF($D$61="","",VLOOKUP($D$61,'[1]m glavni turnir žrebna lista'!$A$7:$R$38,3)))</f>
        <v>REBEC</v>
      </c>
      <c r="AH72" s="140" t="str">
        <f>PROPER(IF($D$61="","",VLOOKUP($D$61,'[1]m glavni turnir žrebna lista'!$A$7:$R$38,4)))</f>
        <v>Gašper</v>
      </c>
      <c r="AI72" s="140" t="str">
        <f>UPPER(IF($D$61="","",VLOOKUP($D$61,'[1]m glavni turnir žrebna lista'!$A$7:$R$38,5)))</f>
        <v>IL-BI</v>
      </c>
      <c r="AJ72" s="147">
        <f t="shared" si="4"/>
        <v>1</v>
      </c>
    </row>
    <row r="73" spans="1:36" s="190" customFormat="1" ht="9" customHeight="1">
      <c r="A73" s="201" t="s">
        <v>68</v>
      </c>
      <c r="B73" s="202"/>
      <c r="C73" s="203"/>
      <c r="D73" s="57">
        <v>2</v>
      </c>
      <c r="E73" s="194" t="str">
        <f>UPPER(IF($D73="","",VLOOKUP($D73,'[1]m glavni turnir žrebna lista'!$A$7:$R$38,3)))</f>
        <v>PETERLIN</v>
      </c>
      <c r="F73" s="57"/>
      <c r="G73" s="195">
        <f>IF($D73="","",VLOOKUP($D73,'[1]m glavni turnir žrebna lista'!$A$7:$R$38,10))</f>
        <v>84</v>
      </c>
      <c r="H73" s="195">
        <f>IF($D73="","",VLOOKUP($D73,'[1]m glavni turnir žrebna lista'!$A$7:$R$38,14))</f>
        <v>10</v>
      </c>
      <c r="I73" s="204" t="s">
        <v>69</v>
      </c>
      <c r="J73" s="205"/>
      <c r="K73" s="61"/>
      <c r="L73" s="192"/>
      <c r="M73" s="197"/>
      <c r="N73" s="206" t="s">
        <v>70</v>
      </c>
      <c r="O73" s="207"/>
      <c r="P73" s="208"/>
      <c r="Q73" s="209"/>
      <c r="U73" s="35"/>
      <c r="V73" s="140">
        <v>29</v>
      </c>
      <c r="W73" s="140" t="str">
        <f>UPPER(IF($D$63="","",VLOOKUP($D$63,'[1]m glavni turnir žrebna lista'!$A$7:$R$38,3)))</f>
        <v>KVAS</v>
      </c>
      <c r="X73" s="140" t="str">
        <f>PROPER(IF($D$63="","",VLOOKUP($D$63,'[1]m glavni turnir žrebna lista'!$A$7:$R$38,4)))</f>
        <v>Miha</v>
      </c>
      <c r="Y73" s="136" t="str">
        <f>IF(W73="","",IF($U$64&lt;&gt;$U$63,"",IF($J$65="bb",1,IF($J$65="","0",$I$65))))</f>
        <v>0</v>
      </c>
      <c r="Z73" s="136">
        <f>IF($W$45="","",IF($U$66&lt;&gt;$U$63,"",IF($L$67="bb",1,IF($L$67="","0",$K$68))))</f>
        <v>10</v>
      </c>
      <c r="AA73" s="136">
        <f>IF($W$45="","",IF($U$62&lt;&gt;$U$63,"",IF($N$63="bb",1,IF($N$63="","0",$M$58))))</f>
        <v>10</v>
      </c>
      <c r="AB73" s="136">
        <f>IF($W$45="","",IF($U$54&lt;&gt;$U$63,"",IF($P$55="bb",1,IF($P$55="","0",$O$46))))</f>
      </c>
      <c r="AC73" s="136">
        <f>IF($W$45="","",IF($U$38&lt;&gt;$U$63,"",IF($P$39="bb",1,IF($P$39="","0",$Q$22))))</f>
      </c>
      <c r="AD73" s="136"/>
      <c r="AE73" s="147">
        <f t="shared" si="3"/>
        <v>2</v>
      </c>
      <c r="AF73" s="138">
        <f>IF($C63="","",'m glavni 32'!$C$63)</f>
        <v>6937</v>
      </c>
      <c r="AG73" s="140" t="str">
        <f>UPPER(IF($D$63="","",VLOOKUP($D$63,'[1]m glavni turnir žrebna lista'!$A$7:$R$38,3)))</f>
        <v>KVAS</v>
      </c>
      <c r="AH73" s="140" t="str">
        <f>PROPER(IF($D$63="","",VLOOKUP($D$63,'[1]m glavni turnir žrebna lista'!$A$7:$R$38,4)))</f>
        <v>Miha</v>
      </c>
      <c r="AI73" s="140" t="str">
        <f>UPPER(IF($D$63="","",VLOOKUP($D$63,'[1]m glavni turnir žrebna lista'!$A$7:$R$38,5)))</f>
        <v>BR-MB</v>
      </c>
      <c r="AJ73" s="147">
        <f t="shared" si="4"/>
        <v>10</v>
      </c>
    </row>
    <row r="74" spans="1:36" s="190" customFormat="1" ht="9" customHeight="1">
      <c r="A74" s="210"/>
      <c r="B74" s="211"/>
      <c r="C74" s="212"/>
      <c r="D74" s="57">
        <v>3</v>
      </c>
      <c r="E74" s="194" t="str">
        <f>UPPER(IF($D74="","",VLOOKUP($D74,'[1]m glavni turnir žrebna lista'!$A$7:$R$38,3)))</f>
        <v>HRKAČ</v>
      </c>
      <c r="F74" s="57"/>
      <c r="G74" s="195">
        <f>IF($D74="","",VLOOKUP($D74,'[1]m glavni turnir žrebna lista'!$A$7:$R$38,10))</f>
        <v>85</v>
      </c>
      <c r="H74" s="195">
        <f>IF($D74="","",VLOOKUP($D74,'[1]m glavni turnir žrebna lista'!$A$7:$R$38,14))</f>
        <v>10</v>
      </c>
      <c r="I74" s="204" t="s">
        <v>71</v>
      </c>
      <c r="J74" s="205"/>
      <c r="K74" s="61"/>
      <c r="L74" s="192"/>
      <c r="M74" s="197"/>
      <c r="N74" s="198" t="s">
        <v>72</v>
      </c>
      <c r="O74" s="199"/>
      <c r="P74" s="200"/>
      <c r="Q74" s="197"/>
      <c r="U74" s="35"/>
      <c r="V74" s="140">
        <v>30</v>
      </c>
      <c r="W74" s="140">
        <f>UPPER(IF($D$65="","",VLOOKUP($D$65,'[1]m glavni turnir žrebna lista'!$A$7:$R$38,3)))</f>
      </c>
      <c r="X74" s="140">
        <f>PROPER(IF($D$65="","",VLOOKUP($D$65,'[1]m glavni turnir žrebna lista'!$A$7:$R$38,4)))</f>
      </c>
      <c r="Y74" s="136">
        <f>IF(W74="","",IF($U$64&lt;&gt;$U$65,"",IF($J$65="bb",1,IF($J$65="","0",$I$63))))</f>
      </c>
      <c r="Z74" s="136">
        <f>IF($W$45="","",IF($U$66&lt;&gt;$U$65,"",IF($L$67="bb",1,IF($L$67="","0",$K$68))))</f>
      </c>
      <c r="AA74" s="136">
        <f>IF($W$45="","",IF($U$62&lt;&gt;$U$65,"",IF($N$63="bb",1,IF($N$63="","0",$M$58))))</f>
      </c>
      <c r="AB74" s="136">
        <f>IF($W$45="","",IF($U$54&lt;&gt;$U$65,"",IF($P$55="bb",1,IF($P$55="","0",$O$46))))</f>
      </c>
      <c r="AC74" s="136">
        <f>IF($W$45="","",IF($U$38&lt;&gt;$U$65,"",IF($P$39="bb",1,IF($P$39="","0",$Q$22))))</f>
      </c>
      <c r="AD74" s="136"/>
      <c r="AE74" s="147">
        <f t="shared" si="3"/>
        <v>0</v>
      </c>
      <c r="AF74" s="138">
        <f>IF($C65="","",'m glavni 32'!$C$65)</f>
      </c>
      <c r="AG74" s="140">
        <f>UPPER(IF($D$65="","",VLOOKUP($D$65,'[1]m glavni turnir žrebna lista'!$A$7:$R$38,3)))</f>
      </c>
      <c r="AH74" s="140">
        <f>PROPER(IF($D$65="","",VLOOKUP($D$65,'[1]m glavni turnir žrebna lista'!$A$7:$R$38,4)))</f>
      </c>
      <c r="AI74" s="140">
        <f>UPPER(IF($D$65="","",VLOOKUP($D$65,'[1]m glavni turnir žrebna lista'!$A$7:$R$38,5)))</f>
      </c>
      <c r="AJ74" s="147">
        <f t="shared" si="4"/>
        <v>0</v>
      </c>
    </row>
    <row r="75" spans="1:36" s="190" customFormat="1" ht="9" customHeight="1">
      <c r="A75" s="213"/>
      <c r="B75" s="56"/>
      <c r="C75" s="193"/>
      <c r="D75" s="57">
        <v>4</v>
      </c>
      <c r="E75" s="194" t="str">
        <f>UPPER(IF($D75="","",VLOOKUP($D75,'[1]m glavni turnir žrebna lista'!$A$7:$R$38,3)))</f>
        <v>CAF</v>
      </c>
      <c r="F75" s="57"/>
      <c r="G75" s="195">
        <f>IF($D75="","",VLOOKUP($D75,'[1]m glavni turnir žrebna lista'!$A$7:$R$38,10))</f>
        <v>86</v>
      </c>
      <c r="H75" s="195">
        <f>IF($D75="","",VLOOKUP($D75,'[1]m glavni turnir žrebna lista'!$A$7:$R$38,14))</f>
        <v>10</v>
      </c>
      <c r="I75" s="204" t="s">
        <v>73</v>
      </c>
      <c r="J75" s="205"/>
      <c r="K75" s="61"/>
      <c r="L75" s="192"/>
      <c r="M75" s="197"/>
      <c r="N75" s="192" t="s">
        <v>74</v>
      </c>
      <c r="O75" s="61"/>
      <c r="P75" s="192"/>
      <c r="Q75" s="197"/>
      <c r="U75" s="35"/>
      <c r="V75" s="140">
        <v>31</v>
      </c>
      <c r="W75" s="140">
        <f>UPPER(IF($D$67="","",VLOOKUP($D$67,'[1]m glavni turnir žrebna lista'!$A$7:$R$38,3)))</f>
      </c>
      <c r="X75" s="140">
        <f>PROPER(IF($D$67="","",VLOOKUP($D$67,'[1]m glavni turnir žrebna lista'!$A$7:$R$38,4)))</f>
      </c>
      <c r="Y75" s="136">
        <f>IF(W75="","",IF($U$68&lt;&gt;$U$67,"",IF($J$69="bb",1,IF($J$69="","0",$I$69))))</f>
      </c>
      <c r="Z75" s="136">
        <f>IF($W$45="","",IF($U$66&lt;&gt;$U$67,"",IF($L$67="bb",1,IF($L$67="","0",$K$64))))</f>
      </c>
      <c r="AA75" s="136">
        <f>IF($W$45="","",IF($U$62&lt;&gt;$U$67,"",IF($N$63="bb",1,IF($N$63="","0",$M$58))))</f>
      </c>
      <c r="AB75" s="136">
        <f>IF($W$45="","",IF($U$54&lt;&gt;$U$67,"",IF($P$55="bb",1,IF($P$55="","0",$O$46))))</f>
      </c>
      <c r="AC75" s="136">
        <f>IF($W$45="","",IF($U$38&lt;&gt;$U$67,"",IF($P$39="bb",1,IF($P$39="","0",$Q$22))))</f>
      </c>
      <c r="AD75" s="136"/>
      <c r="AE75" s="147">
        <f t="shared" si="3"/>
        <v>0</v>
      </c>
      <c r="AF75" s="138">
        <f>IF($C67="","",'m glavni 32'!$C$67)</f>
      </c>
      <c r="AG75" s="140">
        <f>UPPER(IF($D$67="","",VLOOKUP($D$67,'[1]m glavni turnir žrebna lista'!$A$7:$R$38,3)))</f>
      </c>
      <c r="AH75" s="140">
        <f>PROPER(IF($D$67="","",VLOOKUP($D$67,'[1]m glavni turnir žrebna lista'!$A$7:$R$38,4)))</f>
      </c>
      <c r="AI75" s="140">
        <f>UPPER(IF($D$67="","",VLOOKUP($D$67,'[1]m glavni turnir žrebna lista'!$A$7:$R$38,5)))</f>
      </c>
      <c r="AJ75" s="147">
        <f t="shared" si="4"/>
        <v>0</v>
      </c>
    </row>
    <row r="76" spans="1:36" s="190" customFormat="1" ht="9" customHeight="1">
      <c r="A76" s="214"/>
      <c r="B76" s="215"/>
      <c r="C76" s="216"/>
      <c r="D76" s="57">
        <v>5</v>
      </c>
      <c r="E76" s="194" t="str">
        <f>UPPER(IF($D76="","",VLOOKUP($D76,'[1]m glavni turnir žrebna lista'!$A$7:$R$38,3)))</f>
        <v>KULIĆ</v>
      </c>
      <c r="F76" s="57"/>
      <c r="G76" s="195">
        <f>IF($D76="","",VLOOKUP($D76,'[1]m glavni turnir žrebna lista'!$A$7:$R$38,10))</f>
        <v>89</v>
      </c>
      <c r="H76" s="195">
        <f>IF($D76="","",VLOOKUP($D76,'[1]m glavni turnir žrebna lista'!$A$7:$R$38,14))</f>
        <v>10</v>
      </c>
      <c r="I76" s="204" t="s">
        <v>75</v>
      </c>
      <c r="J76" s="205"/>
      <c r="K76" s="61"/>
      <c r="L76" s="192"/>
      <c r="M76" s="197"/>
      <c r="N76" s="208"/>
      <c r="O76" s="207"/>
      <c r="P76" s="208" t="s">
        <v>76</v>
      </c>
      <c r="Q76" s="209"/>
      <c r="U76" s="35"/>
      <c r="V76" s="140">
        <v>32</v>
      </c>
      <c r="W76" s="140" t="str">
        <f>UPPER(IF($D$69="","",VLOOKUP($D$69,'[1]m glavni turnir žrebna lista'!$A$7:$R$38,3)))</f>
        <v>PETERLIN</v>
      </c>
      <c r="X76" s="140" t="str">
        <f>PROPER(IF($D$69="","",VLOOKUP($D$69,'[1]m glavni turnir žrebna lista'!$A$7:$R$38,4)))</f>
        <v>Matic</v>
      </c>
      <c r="Y76" s="136" t="str">
        <f>IF(W76="","",IF($U$68&lt;&gt;$U$69,"",IF($J$69="bb",1,IF($J$69="","0",$I$67))))</f>
        <v>0</v>
      </c>
      <c r="Z76" s="136">
        <f>IF($W$45="","",IF($U$66&lt;&gt;$U$69,"",IF($L$67="bb",1,IF($L$67="","0",$K$64))))</f>
      </c>
      <c r="AA76" s="136">
        <f>IF($W$45="","",IF($U$62&lt;&gt;$U$69,"",IF($N$63="bb",1,IF($N$63="","0",$M$58))))</f>
      </c>
      <c r="AB76" s="136">
        <f>IF($W$45="","",IF($U$54&lt;&gt;$U$69,"",IF($P$55="bb",1,IF($P$55="","0",$O$46))))</f>
      </c>
      <c r="AC76" s="136">
        <f>IF($W$45="","",IF($U$38&lt;&gt;$U$69,"",IF($P$39="bb",1,IF($P$39="","0",$Q$22))))</f>
      </c>
      <c r="AD76" s="136"/>
      <c r="AE76" s="147">
        <f t="shared" si="3"/>
        <v>0</v>
      </c>
      <c r="AF76" s="138">
        <f>IF($C69="","",'m glavni 32'!$C$69)</f>
        <v>7106</v>
      </c>
      <c r="AG76" s="140" t="str">
        <f>UPPER(IF($D$69="","",VLOOKUP($D$69,'[1]m glavni turnir žrebna lista'!$A$7:$R$38,3)))</f>
        <v>PETERLIN</v>
      </c>
      <c r="AH76" s="140" t="str">
        <f>PROPER(IF($D$69="","",VLOOKUP($D$69,'[1]m glavni turnir žrebna lista'!$A$7:$R$38,4)))</f>
        <v>Matic</v>
      </c>
      <c r="AI76" s="140" t="str">
        <f>UPPER(IF($D$69="","",VLOOKUP($D$69,'[1]m glavni turnir žrebna lista'!$A$7:$R$38,5)))</f>
        <v>ZKLUB</v>
      </c>
      <c r="AJ76" s="147">
        <f t="shared" si="4"/>
        <v>2</v>
      </c>
    </row>
    <row r="77" spans="1:36" s="190" customFormat="1" ht="9" customHeight="1">
      <c r="A77" s="191"/>
      <c r="B77" s="192"/>
      <c r="C77" s="193"/>
      <c r="D77" s="57">
        <v>6</v>
      </c>
      <c r="E77" s="194" t="str">
        <f>UPPER(IF($D77="","",VLOOKUP($D77,'[1]m glavni turnir žrebna lista'!$A$7:$R$38,3)))</f>
        <v>RUTAR</v>
      </c>
      <c r="F77" s="57"/>
      <c r="G77" s="195">
        <f>IF($D77="","",VLOOKUP($D77,'[1]m glavni turnir žrebna lista'!$A$7:$R$38,10))</f>
        <v>91</v>
      </c>
      <c r="H77" s="195">
        <f>IF($D77="","",VLOOKUP($D77,'[1]m glavni turnir žrebna lista'!$A$7:$R$38,14))</f>
        <v>10</v>
      </c>
      <c r="I77" s="204" t="s">
        <v>77</v>
      </c>
      <c r="J77" s="205"/>
      <c r="K77" s="61"/>
      <c r="L77" s="192"/>
      <c r="M77" s="197"/>
      <c r="N77" s="198" t="s">
        <v>72</v>
      </c>
      <c r="O77" s="199"/>
      <c r="P77" s="200"/>
      <c r="Q77" s="197"/>
      <c r="U77" s="35"/>
      <c r="V77" s="217"/>
      <c r="W77" s="217"/>
      <c r="X77" s="217"/>
      <c r="Y77" s="136">
        <f>COUNTIF(Y45:Y76,"&gt;0")</f>
        <v>2</v>
      </c>
      <c r="Z77" s="136">
        <f aca="true" t="shared" si="5" ref="Z77:AE77">COUNTIF(Z45:Z76,"&gt;0")</f>
        <v>8</v>
      </c>
      <c r="AA77" s="136">
        <f t="shared" si="5"/>
        <v>4</v>
      </c>
      <c r="AB77" s="136">
        <f t="shared" si="5"/>
        <v>2</v>
      </c>
      <c r="AC77" s="136">
        <f t="shared" si="5"/>
        <v>1</v>
      </c>
      <c r="AD77" s="136"/>
      <c r="AE77" s="136">
        <f t="shared" si="5"/>
        <v>8</v>
      </c>
      <c r="AF77" s="138"/>
      <c r="AG77" s="217"/>
      <c r="AH77" s="217"/>
      <c r="AI77" s="217"/>
      <c r="AJ77" s="136">
        <f>COUNTIF(AJ45:AJ76,"&gt;0")</f>
        <v>18</v>
      </c>
    </row>
    <row r="78" spans="1:36" s="190" customFormat="1" ht="9" customHeight="1">
      <c r="A78" s="191"/>
      <c r="B78" s="192"/>
      <c r="C78" s="218"/>
      <c r="D78" s="57">
        <v>7</v>
      </c>
      <c r="E78" s="194" t="str">
        <f>UPPER(IF($D78="","",VLOOKUP($D78,'[1]m glavni turnir žrebna lista'!$A$7:$R$38,3)))</f>
        <v>DOLENC</v>
      </c>
      <c r="F78" s="57"/>
      <c r="G78" s="195">
        <f>IF($D78="","",VLOOKUP($D78,'[1]m glavni turnir žrebna lista'!$A$7:$R$38,10))</f>
        <v>96</v>
      </c>
      <c r="H78" s="195">
        <f>IF($D78="","",VLOOKUP($D78,'[1]m glavni turnir žrebna lista'!$A$7:$R$38,14))</f>
        <v>10</v>
      </c>
      <c r="I78" s="204" t="s">
        <v>78</v>
      </c>
      <c r="J78" s="205"/>
      <c r="K78" s="61"/>
      <c r="L78" s="192"/>
      <c r="M78" s="197"/>
      <c r="N78" s="192" t="s">
        <v>79</v>
      </c>
      <c r="O78" s="61"/>
      <c r="P78" s="219" t="str">
        <f>'[1]vnos podatkov'!$B$10</f>
        <v>Miha Furlan</v>
      </c>
      <c r="Q78" s="220"/>
      <c r="U78" s="35"/>
      <c r="V78" s="217"/>
      <c r="W78" s="217"/>
      <c r="X78" s="217"/>
      <c r="Y78" s="217"/>
      <c r="Z78" s="217"/>
      <c r="AA78" s="217"/>
      <c r="AB78" s="217"/>
      <c r="AC78" s="217"/>
      <c r="AD78" s="217"/>
      <c r="AE78" s="217"/>
      <c r="AF78" s="138"/>
      <c r="AG78" s="217"/>
      <c r="AH78" s="217"/>
      <c r="AI78" s="217"/>
      <c r="AJ78" s="217"/>
    </row>
    <row r="79" spans="1:36" s="190" customFormat="1" ht="9" customHeight="1">
      <c r="A79" s="221"/>
      <c r="B79" s="208"/>
      <c r="C79" s="222"/>
      <c r="D79" s="223">
        <v>8</v>
      </c>
      <c r="E79" s="224" t="str">
        <f>UPPER(IF($D79="","",VLOOKUP($D79,'[1]m glavni turnir žrebna lista'!$A$7:$R$38,3)))</f>
        <v>POTISK</v>
      </c>
      <c r="F79" s="223"/>
      <c r="G79" s="225">
        <f>IF($D79="","",VLOOKUP($D79,'[1]m glavni turnir žrebna lista'!$A$7:$R$38,10))</f>
        <v>101</v>
      </c>
      <c r="H79" s="225">
        <f>IF($D79="","",VLOOKUP($D79,'[1]m glavni turnir žrebna lista'!$A$7:$R$38,14))</f>
        <v>10</v>
      </c>
      <c r="I79" s="226" t="s">
        <v>80</v>
      </c>
      <c r="J79" s="208"/>
      <c r="K79" s="207"/>
      <c r="L79" s="208"/>
      <c r="M79" s="209"/>
      <c r="N79" s="208" t="s">
        <v>81</v>
      </c>
      <c r="O79" s="207"/>
      <c r="P79" s="227" t="str">
        <f>'[1]vnos podatkov'!$E$10</f>
        <v>Andrej Stefanović</v>
      </c>
      <c r="Q79" s="228"/>
      <c r="U79" s="35"/>
      <c r="V79" s="229"/>
      <c r="W79" s="229"/>
      <c r="X79" s="229"/>
      <c r="Y79" s="229"/>
      <c r="Z79" s="229"/>
      <c r="AA79" s="229"/>
      <c r="AB79" s="229"/>
      <c r="AC79" s="229"/>
      <c r="AD79" s="229"/>
      <c r="AE79" s="229"/>
      <c r="AF79" s="230"/>
      <c r="AG79" s="229"/>
      <c r="AH79" s="229"/>
      <c r="AI79" s="229"/>
      <c r="AJ79" s="229"/>
    </row>
  </sheetData>
  <sheetProtection/>
  <mergeCells count="8">
    <mergeCell ref="P78:Q78"/>
    <mergeCell ref="P79:Q79"/>
    <mergeCell ref="F3:G3"/>
    <mergeCell ref="V41:Z41"/>
    <mergeCell ref="P60:Q60"/>
    <mergeCell ref="P61:Q62"/>
    <mergeCell ref="P71:Q71"/>
    <mergeCell ref="A73:B73"/>
  </mergeCells>
  <conditionalFormatting sqref="G39 G41 G7 G9 G11 G13 G15 G17 G19 G23 G43 G45 G47 G49 G51 G53 G21 G25 G27 G29 G31 G33 G35 G37 G55 G57 G59 G61 G63 G65 G67 G69">
    <cfRule type="expression" priority="1" dxfId="5" stopIfTrue="1">
      <formula>AND($D7&lt;9,$C7&gt;0)</formula>
    </cfRule>
  </conditionalFormatting>
  <conditionalFormatting sqref="L10 L18 L26 L34 L42 L50 L58 L66 N14 N30 N46 N62 P22 P54 J8 J12 J16 J20 J24 J28 J32 J36 J40 J44 J48 J52 J56 J60 J64 J68">
    <cfRule type="expression" priority="2" dxfId="5" stopIfTrue="1">
      <formula>I8="as"</formula>
    </cfRule>
    <cfRule type="expression" priority="3" dxfId="5" stopIfTrue="1">
      <formula>I8="bs"</formula>
    </cfRule>
  </conditionalFormatting>
  <conditionalFormatting sqref="B57 B9 B11 B13 B15 B17 B19 B67 B59 B25 B27 B29 B31 B33 B35 B65 B63 B41 B43 B45 B47 B49 B51 B61">
    <cfRule type="cellIs" priority="4" dxfId="12" operator="equal" stopIfTrue="1">
      <formula>"QA"</formula>
    </cfRule>
    <cfRule type="cellIs" priority="5" dxfId="12" operator="equal" stopIfTrue="1">
      <formula>"DA"</formula>
    </cfRule>
  </conditionalFormatting>
  <conditionalFormatting sqref="I8 I12 I16 I20 I24 I28 I32 I36 I40 I44 I48 I52 I56 I60 I64 I68 K66 K58 K50 K42 K34 K26 K18 K10 M14 M30 M46 M62 O22 O54 O39">
    <cfRule type="expression" priority="6" dxfId="11" stopIfTrue="1">
      <formula>$N$1="CU"</formula>
    </cfRule>
  </conditionalFormatting>
  <conditionalFormatting sqref="P38">
    <cfRule type="expression" priority="7" dxfId="5" stopIfTrue="1">
      <formula>O39="as"</formula>
    </cfRule>
    <cfRule type="expression" priority="8" dxfId="5" stopIfTrue="1">
      <formula>O39="bs"</formula>
    </cfRule>
  </conditionalFormatting>
  <conditionalFormatting sqref="N39 H8 H12 H16 H20 H24 H28 H32 H36 H40 H44 H48 H52 H56 H60 H64 H68 J66 J58 J50 J42 J34 J26 J18 J10 L14 L30 L46 L62 N54 N22">
    <cfRule type="expression" priority="9" dxfId="8" stopIfTrue="1">
      <formula>AND($N$1="CU",H8="Sodnik")</formula>
    </cfRule>
    <cfRule type="expression" priority="10" dxfId="7" stopIfTrue="1">
      <formula>AND($N$1="CU",H8&lt;&gt;"Sodnik",I8&lt;&gt;"")</formula>
    </cfRule>
    <cfRule type="expression" priority="11" dxfId="6" stopIfTrue="1">
      <formula>AND($N$1="CU",H8&lt;&gt;"Sodnik")</formula>
    </cfRule>
  </conditionalFormatting>
  <conditionalFormatting sqref="E7 B21 B7:C7 B23:C23 B37:C37 B39:C39 B53:C53 B55:C55 B69:C69">
    <cfRule type="expression" priority="12" dxfId="5" stopIfTrue="1">
      <formula>"IF(D7&lt;9)"</formula>
    </cfRule>
  </conditionalFormatting>
  <conditionalFormatting sqref="U52">
    <cfRule type="expression" priority="13" dxfId="4" stopIfTrue="1">
      <formula>"IF(Q63=J4)"</formula>
    </cfRule>
  </conditionalFormatting>
  <conditionalFormatting sqref="Q63">
    <cfRule type="cellIs" priority="14" dxfId="2" operator="equal" stopIfTrue="1">
      <formula>1</formula>
    </cfRule>
  </conditionalFormatting>
  <conditionalFormatting sqref="P63">
    <cfRule type="cellIs" priority="15" dxfId="2" operator="equal" stopIfTrue="1">
      <formula>"Rang turnirja"</formula>
    </cfRule>
  </conditionalFormatting>
  <conditionalFormatting sqref="D9 D11 D13 D15 D17 D19 D25 D27 D29 D31 D33 D35 D41 D43 D45 D47 D49 D51 D57 D59 D61 D63 D65 D67">
    <cfRule type="expression" priority="16" dxfId="1" stopIfTrue="1">
      <formula>$D9&gt;0</formula>
    </cfRule>
  </conditionalFormatting>
  <conditionalFormatting sqref="D7 D21 D23 D37 D39 D53 D55 D69">
    <cfRule type="expression" priority="17" dxfId="0" stopIfTrue="1">
      <formula>$D7&lt;&gt;""</formula>
    </cfRule>
  </conditionalFormatting>
  <dataValidations count="1">
    <dataValidation type="list" allowBlank="1" showInputMessage="1" sqref="H68 N22 N39 N54 L62 L30 L14 J10 L46 J18 J26 J34 J42 J50 J58 J66 H60 H56 H52 H48 H28 H24 H44 H40 H36 H12 H32 H8 H20 H64 H16">
      <formula1>$T$7:$T$16</formula1>
    </dataValidation>
  </dataValidations>
  <printOptions horizontalCentered="1"/>
  <pageMargins left="0.35" right="0.35" top="0.39" bottom="0.39" header="0" footer="0"/>
  <pageSetup fitToHeight="1" fitToWidth="1" horizontalDpi="300" verticalDpi="300" orientation="portrait" paperSize="9"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2011-07-03T17:51:21Z</dcterms:created>
  <dcterms:modified xsi:type="dcterms:W3CDTF">2011-07-03T17:52:22Z</dcterms:modified>
  <cp:category/>
  <cp:version/>
  <cp:contentType/>
  <cp:contentStatus/>
</cp:coreProperties>
</file>