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activeTab="3"/>
  </bookViews>
  <sheets>
    <sheet name="razpored PETEK + SOBOTA" sheetId="9" r:id="rId1"/>
    <sheet name="m glavni - do 35 let" sheetId="4" r:id="rId2"/>
    <sheet name="m glavni 35+" sheetId="5" r:id="rId3"/>
    <sheet name="m glavni 45 +" sheetId="6" r:id="rId4"/>
    <sheet name="m glavni 55+" sheetId="7" r:id="rId5"/>
    <sheet name="m round robin 65 +" sheetId="8" r:id="rId6"/>
    <sheet name="ŽENSKE DO 40 " sheetId="1" r:id="rId7"/>
    <sheet name="ŽENSKE  40-60 " sheetId="3" r:id="rId8"/>
    <sheet name="ŽENSKE  60 + " sheetId="2"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255</definedName>
    <definedName name="A" localSheetId="1">#REF!</definedName>
    <definedName name="A" localSheetId="2">#REF!</definedName>
    <definedName name="A" localSheetId="3">#REF!</definedName>
    <definedName name="A" localSheetId="4">#REF!</definedName>
    <definedName name="A" localSheetId="5">#REF!</definedName>
    <definedName name="A" localSheetId="0">#REF!</definedName>
    <definedName name="A" localSheetId="7">#REF!</definedName>
    <definedName name="A" localSheetId="8">#REF!</definedName>
    <definedName name="A" localSheetId="6">#REF!</definedName>
    <definedName name="A">#REF!</definedName>
    <definedName name="B" localSheetId="1">#REF!</definedName>
    <definedName name="B" localSheetId="2">#REF!</definedName>
    <definedName name="B" localSheetId="3">#REF!</definedName>
    <definedName name="B" localSheetId="4">#REF!</definedName>
    <definedName name="B" localSheetId="5">#REF!</definedName>
    <definedName name="B" localSheetId="0">#REF!</definedName>
    <definedName name="B" localSheetId="7">#REF!</definedName>
    <definedName name="B" localSheetId="8">#REF!</definedName>
    <definedName name="B" localSheetId="6">#REF!</definedName>
    <definedName name="B">#REF!</definedName>
    <definedName name="BORUT" localSheetId="7">#REF!</definedName>
    <definedName name="BORUT" localSheetId="8">#REF!</definedName>
    <definedName name="BORUT" localSheetId="6">#REF!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'm glavni - do 35 let'!$A$1:$Q$79</definedName>
    <definedName name="_xlnm.Print_Area" localSheetId="2">'m glavni 35+'!$A$1:$Q$79</definedName>
    <definedName name="_xlnm.Print_Area" localSheetId="3">'m glavni 45 +'!$A$1:$Q$79</definedName>
    <definedName name="_xlnm.Print_Area" localSheetId="4">'m glavni 55+'!$A$1:$Q$79</definedName>
    <definedName name="_xlnm.Print_Area" localSheetId="5">'m round robin 65 +'!$A$1:$L$26</definedName>
  </definedNames>
  <calcPr calcId="162913" iterate="1" iterateCount="1" iterateDelta="0.00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4.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5.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6.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I29" authorId="0">
      <text>
        <r>
          <rPr>
            <b/>
            <sz val="8"/>
            <color indexed="10"/>
            <rFont val="Tahoma"/>
            <family val="2"/>
          </rPr>
          <t>Za pravilen vnos časa žrebanja v celico P71 napiši:
=NOW( )
in pritisni ENTER.</t>
        </r>
      </text>
    </comment>
    <comment ref="J30" authorId="0">
      <text>
        <r>
          <rPr>
            <b/>
            <sz val="8"/>
            <color indexed="10"/>
            <rFont val="Tahoma"/>
            <family val="2"/>
          </rPr>
          <t>Napiši ime in priimek ter mesto na lestvici igralke, ki se je zadnja neposredno (status D) uvrstila v žreb.
Primer:
Katarina Srebotnik (23)</t>
        </r>
      </text>
    </comment>
  </commentList>
</comments>
</file>

<file path=xl/comments8.xml><?xml version="1.0" encoding="utf-8"?>
<comments xmlns="http://schemas.openxmlformats.org/spreadsheetml/2006/main">
  <authors>
    <author>mta</author>
  </authors>
  <commentList>
    <comment ref="K29" authorId="0">
      <text>
        <r>
          <rPr>
            <b/>
            <sz val="8"/>
            <color indexed="10"/>
            <rFont val="Tahoma"/>
            <family val="2"/>
          </rPr>
          <t>Za pravilen vnos časa žrebanja v celico P71 napiši:
=NOW( )
in pritisni ENTER.</t>
        </r>
      </text>
    </comment>
    <comment ref="L30" authorId="0">
      <text>
        <r>
          <rPr>
            <b/>
            <sz val="8"/>
            <color indexed="10"/>
            <rFont val="Tahoma"/>
            <family val="2"/>
          </rPr>
          <t>Napiši ime in priimek ter mesto na lestvici igralke, ki se je zadnja neposredno (status D) uvrstila v žreb.
Primer:
Katarina Srebotnik (23)</t>
        </r>
      </text>
    </comment>
  </commentList>
</comments>
</file>

<file path=xl/comments9.xml><?xml version="1.0" encoding="utf-8"?>
<comments xmlns="http://schemas.openxmlformats.org/spreadsheetml/2006/main">
  <authors>
    <author>mta</author>
  </authors>
  <commentList>
    <comment ref="I29" authorId="0">
      <text>
        <r>
          <rPr>
            <b/>
            <sz val="8"/>
            <color indexed="10"/>
            <rFont val="Tahoma"/>
            <family val="2"/>
          </rPr>
          <t>Za pravilen vnos časa žrebanja v celico P71 napiši:
=NOW( )
in pritisni ENTER.</t>
        </r>
      </text>
    </comment>
    <comment ref="J30"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<sst xmlns="http://schemas.openxmlformats.org/spreadsheetml/2006/main" count="1006" uniqueCount="287">
  <si>
    <t/>
  </si>
  <si>
    <t>vrsta turnirja</t>
  </si>
  <si>
    <t>2</t>
  </si>
  <si>
    <t>prosto</t>
  </si>
  <si>
    <t>3</t>
  </si>
  <si>
    <t>4</t>
  </si>
  <si>
    <t>5</t>
  </si>
  <si>
    <t>6</t>
  </si>
  <si>
    <t>7</t>
  </si>
  <si>
    <t>8</t>
  </si>
  <si>
    <t>10</t>
  </si>
  <si>
    <t>11</t>
  </si>
  <si>
    <t>12</t>
  </si>
  <si>
    <t>13</t>
  </si>
  <si>
    <t>14</t>
  </si>
  <si>
    <t>15</t>
  </si>
  <si>
    <t>16</t>
  </si>
  <si>
    <t xml:space="preserve">RVO DRŽAVNO PRVENSTVO </t>
  </si>
  <si>
    <t>DP</t>
  </si>
  <si>
    <t>13. 6. 2019</t>
  </si>
  <si>
    <t>PIŠKUR</t>
  </si>
  <si>
    <t>ŠPELA</t>
  </si>
  <si>
    <t>SAVOČKINA</t>
  </si>
  <si>
    <t>EVGENIA</t>
  </si>
  <si>
    <t>KOROBOVA</t>
  </si>
  <si>
    <t>EKATERINA</t>
  </si>
  <si>
    <t>PREDAN</t>
  </si>
  <si>
    <t>TAMARA</t>
  </si>
  <si>
    <t>NOVAK</t>
  </si>
  <si>
    <t>META</t>
  </si>
  <si>
    <t xml:space="preserve">ŽENSKE  DO 40 LET </t>
  </si>
  <si>
    <t>ŽENSKE  60 +  LET</t>
  </si>
  <si>
    <t xml:space="preserve">ŽENSKE   40 +  </t>
  </si>
  <si>
    <t>PAJENK</t>
  </si>
  <si>
    <t>VERA</t>
  </si>
  <si>
    <t>STANKO</t>
  </si>
  <si>
    <t>VESNA</t>
  </si>
  <si>
    <t>JENČEK</t>
  </si>
  <si>
    <t>ELENA</t>
  </si>
  <si>
    <t>DOLČIČ</t>
  </si>
  <si>
    <t>MILENA</t>
  </si>
  <si>
    <t>LEONARDOS</t>
  </si>
  <si>
    <t>LORENA</t>
  </si>
  <si>
    <t>HITI</t>
  </si>
  <si>
    <t>ALENKA</t>
  </si>
  <si>
    <t>KOGLOT</t>
  </si>
  <si>
    <t>MAŠA</t>
  </si>
  <si>
    <t>KRISTAN</t>
  </si>
  <si>
    <t>KARMEN</t>
  </si>
  <si>
    <t>KORELC</t>
  </si>
  <si>
    <t>DARJA</t>
  </si>
  <si>
    <t>PIŠLJAR</t>
  </si>
  <si>
    <t>KATARINA</t>
  </si>
  <si>
    <t>MEOLIC</t>
  </si>
  <si>
    <t>IVANA</t>
  </si>
  <si>
    <t>VANCENTA</t>
  </si>
  <si>
    <t>KRISTINA</t>
  </si>
  <si>
    <t>ŠEGA</t>
  </si>
  <si>
    <t>JULIJA</t>
  </si>
  <si>
    <t>BOŽIČ</t>
  </si>
  <si>
    <t>SAŠA</t>
  </si>
  <si>
    <t>JAZBINŠEK</t>
  </si>
  <si>
    <t>PIKA</t>
  </si>
  <si>
    <t>GLAVNI TURNIR</t>
  </si>
  <si>
    <t>Moški</t>
  </si>
  <si>
    <t>datum</t>
  </si>
  <si>
    <t>klub</t>
  </si>
  <si>
    <t>rang turnirja</t>
  </si>
  <si>
    <t>vodja tekmovanja</t>
  </si>
  <si>
    <t>ševilo igralcev</t>
  </si>
  <si>
    <t>vrhovni  sodnik</t>
  </si>
  <si>
    <t>TOČKE GLAVNI TURNIR - UVRSTITEV</t>
  </si>
  <si>
    <t>status</t>
  </si>
  <si>
    <t>šifra</t>
  </si>
  <si>
    <t>nosilec</t>
  </si>
  <si>
    <t>priimek</t>
  </si>
  <si>
    <t>ime</t>
  </si>
  <si>
    <t>2. kolo</t>
  </si>
  <si>
    <t>četrtfinale</t>
  </si>
  <si>
    <t>polfinale</t>
  </si>
  <si>
    <t>finale</t>
  </si>
  <si>
    <t>zap. št.</t>
  </si>
  <si>
    <t>1.kolo</t>
  </si>
  <si>
    <t>2.kolo</t>
  </si>
  <si>
    <t>finalist</t>
  </si>
  <si>
    <t>zmagovalec</t>
  </si>
  <si>
    <t>skupaj točk</t>
  </si>
  <si>
    <t>Sodnik</t>
  </si>
  <si>
    <t>a</t>
  </si>
  <si>
    <t>B</t>
  </si>
  <si>
    <t>BB</t>
  </si>
  <si>
    <t>MIHELIČ GAŠPER</t>
  </si>
  <si>
    <t>b</t>
  </si>
  <si>
    <t>TOČKE GLAVNI TURNIR - ZMAGE NAD NASPROTNIKI</t>
  </si>
  <si>
    <t>TOČKE GLAVNI TURNIR - SKUPAJ</t>
  </si>
  <si>
    <t>prostp</t>
  </si>
  <si>
    <t>PEVC PETER</t>
  </si>
  <si>
    <t>TOČKE TZS</t>
  </si>
  <si>
    <t>Rang turnirja:</t>
  </si>
  <si>
    <t>1. mesto</t>
  </si>
  <si>
    <t>2. mesto</t>
  </si>
  <si>
    <t>3. - 4. mesto</t>
  </si>
  <si>
    <t>5. - 8. mesto</t>
  </si>
  <si>
    <t>BATOR FILIP</t>
  </si>
  <si>
    <t>9. - 16. mesto</t>
  </si>
  <si>
    <t>17.- 32. mesto</t>
  </si>
  <si>
    <t>jakostna lestvica</t>
  </si>
  <si>
    <t>#</t>
  </si>
  <si>
    <t>nosilci</t>
  </si>
  <si>
    <t>mesto TZS</t>
  </si>
  <si>
    <t>jakost</t>
  </si>
  <si>
    <t>srečni poraženec</t>
  </si>
  <si>
    <t>namesto</t>
  </si>
  <si>
    <t>čas žrebanja:</t>
  </si>
  <si>
    <t>1</t>
  </si>
  <si>
    <t>zadnji neposredno uvrščeni igralec:</t>
  </si>
  <si>
    <t>podpis</t>
  </si>
  <si>
    <t>predstavnik igralcev:</t>
  </si>
  <si>
    <t>BURKELC SREČKO</t>
  </si>
  <si>
    <t>vodja tekmovanja:</t>
  </si>
  <si>
    <t>vrhovni sodnik:</t>
  </si>
  <si>
    <t>A</t>
  </si>
  <si>
    <t>SKVARČA SAMO</t>
  </si>
  <si>
    <t>LOPATIČ MARKO</t>
  </si>
  <si>
    <t>JANHAR BLAŽ</t>
  </si>
  <si>
    <t>MAČEK ALEŠ</t>
  </si>
  <si>
    <t>MEOLIC SREČKO</t>
  </si>
  <si>
    <t>AŠIČ ALOJZ</t>
  </si>
  <si>
    <t>KUKOVICA ROBERT</t>
  </si>
  <si>
    <t>GOLOB PETER</t>
  </si>
  <si>
    <t>BLATNIK DUŠAN</t>
  </si>
  <si>
    <t>LEBER SEBASTJAN</t>
  </si>
  <si>
    <t>BATOR MITJA</t>
  </si>
  <si>
    <t>PODGORNIK BRANKO</t>
  </si>
  <si>
    <t>BS</t>
  </si>
  <si>
    <t>AS</t>
  </si>
  <si>
    <r>
      <t xml:space="preserve">ROUND ROBIN </t>
    </r>
    <r>
      <rPr>
        <b/>
        <i/>
        <sz val="24"/>
        <color indexed="8"/>
        <rFont val="Times New Roman CE"/>
        <family val="1"/>
      </rPr>
      <t>(4 v skupini)</t>
    </r>
  </si>
  <si>
    <t>list ševilka:</t>
  </si>
  <si>
    <t>kategorija:</t>
  </si>
  <si>
    <t>in teniški klub:</t>
  </si>
  <si>
    <t>datum:</t>
  </si>
  <si>
    <t>tekmovanje:</t>
  </si>
  <si>
    <t>število igralcev:</t>
  </si>
  <si>
    <t>skupina: 1  MOŠKI 65 +</t>
  </si>
  <si>
    <t>število zmag</t>
  </si>
  <si>
    <t>vrstni red</t>
  </si>
  <si>
    <t>Tabela za izračun točk</t>
  </si>
  <si>
    <t>točke</t>
  </si>
  <si>
    <t>skupina: 2</t>
  </si>
  <si>
    <t>skupina: 3</t>
  </si>
  <si>
    <t>podpis:</t>
  </si>
  <si>
    <t>vrstni red igranja po skupinah:</t>
  </si>
  <si>
    <t>1 : 4  *  2 : 3  *  1 : 2  *  3 : 4  *  1 : 3  *  2 : 4</t>
  </si>
  <si>
    <t>PUSTOSLEMŠEK</t>
  </si>
  <si>
    <t>ALEŠ</t>
  </si>
  <si>
    <t>RVO DRŽAVNO PRVENSTVO Z SPORT KLUB</t>
  </si>
  <si>
    <t>13.-15.9.2019</t>
  </si>
  <si>
    <t>RAZPORED DVOBOJEV NA TEKMOVANJU</t>
  </si>
  <si>
    <t>Razpored dvobojev za (dan, datum):</t>
  </si>
  <si>
    <t xml:space="preserve">    PETEK 13.9.2019  IN  SOBOTA 14.9.2019</t>
  </si>
  <si>
    <t xml:space="preserve"> </t>
  </si>
  <si>
    <t>št.dv.</t>
  </si>
  <si>
    <r>
      <t xml:space="preserve">(dvojica) </t>
    </r>
    <r>
      <rPr>
        <i/>
        <sz val="14"/>
        <color indexed="8"/>
        <rFont val="Arial"/>
        <family val="2"/>
      </rPr>
      <t>igralec</t>
    </r>
    <r>
      <rPr>
        <i/>
        <sz val="10"/>
        <color indexed="8"/>
        <rFont val="Arial"/>
        <family val="2"/>
      </rPr>
      <t xml:space="preserve"> </t>
    </r>
    <r>
      <rPr>
        <i/>
        <sz val="14"/>
        <color indexed="8"/>
        <rFont val="Arial"/>
        <family val="2"/>
      </rPr>
      <t>1</t>
    </r>
  </si>
  <si>
    <r>
      <t>(dvojica)</t>
    </r>
    <r>
      <rPr>
        <i/>
        <sz val="14"/>
        <color indexed="8"/>
        <rFont val="Arial"/>
        <family val="2"/>
      </rPr>
      <t xml:space="preserve"> igralec  2</t>
    </r>
  </si>
  <si>
    <t>igrišče</t>
  </si>
  <si>
    <t>ura</t>
  </si>
  <si>
    <t>MOŠKI DO 35 LET - 1.kolo</t>
  </si>
  <si>
    <t>STOPAR LUKA</t>
  </si>
  <si>
    <t>KIMOVEC MATIC</t>
  </si>
  <si>
    <t>SOBOTA</t>
  </si>
  <si>
    <t>NP 11.30</t>
  </si>
  <si>
    <t>PEČEČNIK DENIS</t>
  </si>
  <si>
    <t>SUŠNIK URBAN</t>
  </si>
  <si>
    <t>MANASIJEVIČ VLADIMIR</t>
  </si>
  <si>
    <t>LAP JAN</t>
  </si>
  <si>
    <t>ZALAR TILEN</t>
  </si>
  <si>
    <t>BIŠČAK URBAN</t>
  </si>
  <si>
    <t>BREULJ ROK</t>
  </si>
  <si>
    <t>MOŠKI DO 35 LET - 1/4 FINALE</t>
  </si>
  <si>
    <t>JARC MATEJ</t>
  </si>
  <si>
    <t>NP 16.00</t>
  </si>
  <si>
    <t>OGRIČ MIHA</t>
  </si>
  <si>
    <t>MOŠKI 35  +         1.kolo</t>
  </si>
  <si>
    <t>SMERKOL DAMJAN</t>
  </si>
  <si>
    <t>GRAŠIČ DAMJAN</t>
  </si>
  <si>
    <t>PETEK</t>
  </si>
  <si>
    <t>15.00</t>
  </si>
  <si>
    <t>HRIBERSKI GAŠPER</t>
  </si>
  <si>
    <t>AMON SAMO</t>
  </si>
  <si>
    <t>TURUK MARKO</t>
  </si>
  <si>
    <t>MAGAJNE TONI</t>
  </si>
  <si>
    <t>AGREŽ TADEJ</t>
  </si>
  <si>
    <t>BIZJAK TOMAŽ</t>
  </si>
  <si>
    <t>KVAS MIHA</t>
  </si>
  <si>
    <t>SMERKOLJ ROK</t>
  </si>
  <si>
    <t>JOLIČ RADE</t>
  </si>
  <si>
    <t>JOVANOVIČ ZORAN</t>
  </si>
  <si>
    <t>BENČINA JAKA</t>
  </si>
  <si>
    <t>LEVOVNIK JURE</t>
  </si>
  <si>
    <t>MOŠKI 35  +         2.kolo</t>
  </si>
  <si>
    <t>ŠKRJANC MARKO</t>
  </si>
  <si>
    <t>NP 13.00</t>
  </si>
  <si>
    <t>KADIVNIK KLEMEN</t>
  </si>
  <si>
    <t>NP 14.30</t>
  </si>
  <si>
    <t>OMANOVIČ ELVIN</t>
  </si>
  <si>
    <t>URANIČ DENIS</t>
  </si>
  <si>
    <t>KRŽIČ ANDRAŽ</t>
  </si>
  <si>
    <t>MOŠKI 45  +         1.kolo</t>
  </si>
  <si>
    <t>ŠKORJANC GREGA</t>
  </si>
  <si>
    <t>PUSTOSLEMŠEK ALEŠ</t>
  </si>
  <si>
    <t>HORVAT TOMI</t>
  </si>
  <si>
    <t>SVOLJŠAK JANEZ</t>
  </si>
  <si>
    <t>NOSAN ROBERT</t>
  </si>
  <si>
    <t>TRBEŽNIK MATJAŽ</t>
  </si>
  <si>
    <t>MISAJLOVSKI JORDA</t>
  </si>
  <si>
    <t>BLATNIK MATJAŽ</t>
  </si>
  <si>
    <t>BOLHAR GAŠPER</t>
  </si>
  <si>
    <t>MOŠKI 45  +         2.kolo</t>
  </si>
  <si>
    <t>KOMAR TONE</t>
  </si>
  <si>
    <t>9.00</t>
  </si>
  <si>
    <t>MAVER PETER</t>
  </si>
  <si>
    <t>RAGUŠ DRAGAN</t>
  </si>
  <si>
    <t>ERŽEN MATEJ</t>
  </si>
  <si>
    <t>PERKOVIČ IGOR</t>
  </si>
  <si>
    <t>LEBEN SEBASTIAN</t>
  </si>
  <si>
    <t>MOŠKI 55  +         1.kolo</t>
  </si>
  <si>
    <t>BEŠIREVIČ NEDO</t>
  </si>
  <si>
    <t>ŠEGA MARKO</t>
  </si>
  <si>
    <t>NP 16.30</t>
  </si>
  <si>
    <t>PERGAR ANDREJ</t>
  </si>
  <si>
    <t>GLAVIČ BOJAN</t>
  </si>
  <si>
    <t>JURIČIČ ALFREDO</t>
  </si>
  <si>
    <t>MOŠKI 55  +         2.kolo</t>
  </si>
  <si>
    <t>BELIŠ IVO</t>
  </si>
  <si>
    <t>NP 10.00</t>
  </si>
  <si>
    <t>GUNA BRANKO</t>
  </si>
  <si>
    <t>ZOBEC TOMI</t>
  </si>
  <si>
    <t>FRECE MATJAŽ</t>
  </si>
  <si>
    <t>DOLČIČ BRANE</t>
  </si>
  <si>
    <t>MESEC DEJAN</t>
  </si>
  <si>
    <t>KUNAVER MILOŠ</t>
  </si>
  <si>
    <t>STEFANOVIČ MIRAN</t>
  </si>
  <si>
    <t>KRUMPAK MILAN</t>
  </si>
  <si>
    <t>MESTEK LAN</t>
  </si>
  <si>
    <t>TANJŠEK ZMAGO</t>
  </si>
  <si>
    <t>MOŠKI 65  +  RR -   1.kolo</t>
  </si>
  <si>
    <t>BOH MOJMIR</t>
  </si>
  <si>
    <t>SLAVINEC IGOR</t>
  </si>
  <si>
    <t>MOŠKI 65  +  RR -   2.kolo</t>
  </si>
  <si>
    <t>STIBILJ CVETO</t>
  </si>
  <si>
    <t>MOŠKI 65  +  RR -   3.kolo</t>
  </si>
  <si>
    <t>NEDELJA</t>
  </si>
  <si>
    <t>ŽENSKE  DO 40 LET  - 1.kolo</t>
  </si>
  <si>
    <t>KOROBOVA EKATERINA</t>
  </si>
  <si>
    <t>PREDAN TAMARA</t>
  </si>
  <si>
    <t>ŽENSKE  DO 40 LET  - 1/2 FINALE</t>
  </si>
  <si>
    <t>PIŠKUR ŠPELA</t>
  </si>
  <si>
    <t>NOVAK META</t>
  </si>
  <si>
    <t>SAVOČKINA EVGENIJA</t>
  </si>
  <si>
    <t>NP16.00</t>
  </si>
  <si>
    <t>ŽENSKE  40 +   - 1.kolo</t>
  </si>
  <si>
    <t>PIŠLJAR KATARINA</t>
  </si>
  <si>
    <t>MEOLIC IVANA</t>
  </si>
  <si>
    <t>NP 17.30</t>
  </si>
  <si>
    <t>ŠEGA JULIJA</t>
  </si>
  <si>
    <t>BOŽIČ SAŠA</t>
  </si>
  <si>
    <t>ŽENSKE  40 +   - 1/4 FINALE</t>
  </si>
  <si>
    <t>HITI ALENKA</t>
  </si>
  <si>
    <t>VANCENTA KRISTINA</t>
  </si>
  <si>
    <t>KRISTAN KARMEN</t>
  </si>
  <si>
    <t>KORELC DARJA</t>
  </si>
  <si>
    <t>JAZBINŠEK PIKA</t>
  </si>
  <si>
    <t>KOGLOT MAŠA</t>
  </si>
  <si>
    <t>ŽENSKE  60 +   - 1.kolo</t>
  </si>
  <si>
    <t>JENČEK ELENA</t>
  </si>
  <si>
    <t>DOLČIČ MILENA</t>
  </si>
  <si>
    <t>NP 12.00</t>
  </si>
  <si>
    <t>ŽENSKE  60 +   - 1/2 FINALE</t>
  </si>
  <si>
    <t>PAJENK VERA</t>
  </si>
  <si>
    <t>LEONARDOS LORENA</t>
  </si>
  <si>
    <t>STANKO VESNA</t>
  </si>
  <si>
    <t>EKSHIBICJSKA TEKMA</t>
  </si>
  <si>
    <t>DRAGAN BULIČ</t>
  </si>
  <si>
    <t>TOMO JURAK</t>
  </si>
  <si>
    <t>18.00</t>
  </si>
  <si>
    <t>SEME ŠTEFAN</t>
  </si>
  <si>
    <t>BOŽIČNIK IGOR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</si>
</sst>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0.0"/>
    <numFmt numFmtId="166" formatCode="0_)"/>
  </numFmts>
  <fonts count="135">
    <font>
      <sz val="11"/>
      <color theme="1"/>
      <name val="Calibri"/>
      <family val="2"/>
      <scheme val="minor"/>
    </font>
    <font>
      <sz val="10"/>
      <name val="Arial"/>
      <family val="2"/>
    </font>
    <font>
      <sz val="10"/>
      <name val="Verdana"/>
      <family val="2"/>
    </font>
    <font>
      <sz val="8"/>
      <name val="Arial"/>
      <family val="2"/>
    </font>
    <font>
      <b/>
      <sz val="11"/>
      <name val="Arial"/>
      <family val="2"/>
    </font>
    <font>
      <b/>
      <sz val="10"/>
      <name val="Arial"/>
      <family val="2"/>
    </font>
    <font>
      <b/>
      <sz val="8"/>
      <name val="Arial"/>
      <family val="2"/>
    </font>
    <font>
      <sz val="8"/>
      <color indexed="9"/>
      <name val="Arial"/>
      <family val="2"/>
    </font>
    <font>
      <b/>
      <i/>
      <sz val="9"/>
      <name val="Arial"/>
      <family val="2"/>
    </font>
    <font>
      <b/>
      <i/>
      <sz val="8"/>
      <name val="Arial"/>
      <family val="2"/>
    </font>
    <font>
      <sz val="8"/>
      <color indexed="8"/>
      <name val="Arial"/>
      <family val="2"/>
    </font>
    <font>
      <sz val="8"/>
      <name val="Verdana"/>
      <family val="2"/>
    </font>
    <font>
      <b/>
      <sz val="12"/>
      <name val="Arial"/>
      <family val="2"/>
    </font>
    <font>
      <sz val="10"/>
      <name val="Calibri"/>
      <family val="2"/>
      <scheme val="minor"/>
    </font>
    <font>
      <sz val="12"/>
      <name val="Arial"/>
      <family val="2"/>
    </font>
    <font>
      <b/>
      <sz val="8"/>
      <color indexed="9"/>
      <name val="Arial"/>
      <family val="2"/>
    </font>
    <font>
      <b/>
      <sz val="14"/>
      <name val="Arial"/>
      <family val="2"/>
    </font>
    <font>
      <b/>
      <sz val="16"/>
      <name val="Arial"/>
      <family val="2"/>
    </font>
    <font>
      <sz val="7"/>
      <color indexed="9"/>
      <name val="Arial"/>
      <family val="2"/>
    </font>
    <font>
      <b/>
      <sz val="8"/>
      <color indexed="10"/>
      <name val="Tahoma"/>
      <family val="2"/>
    </font>
    <font>
      <b/>
      <i/>
      <sz val="12"/>
      <name val="Arial"/>
      <family val="2"/>
    </font>
    <font>
      <b/>
      <i/>
      <sz val="14"/>
      <name val="Arial"/>
      <family val="2"/>
    </font>
    <font>
      <b/>
      <sz val="8"/>
      <name val="Verdana"/>
      <family val="2"/>
    </font>
    <font>
      <i/>
      <sz val="8"/>
      <color rgb="FFFF0000"/>
      <name val="Arial"/>
      <family val="2"/>
    </font>
    <font>
      <b/>
      <sz val="18"/>
      <name val="Arial"/>
      <family val="2"/>
    </font>
    <font>
      <b/>
      <sz val="20"/>
      <name val="Arial"/>
      <family val="2"/>
    </font>
    <font>
      <sz val="20"/>
      <name val="Arial"/>
      <family val="2"/>
    </font>
    <font>
      <sz val="20"/>
      <color indexed="9"/>
      <name val="Arial"/>
      <family val="2"/>
    </font>
    <font>
      <b/>
      <sz val="9"/>
      <color indexed="9"/>
      <name val="Arial"/>
      <family val="2"/>
    </font>
    <font>
      <sz val="10"/>
      <color indexed="9"/>
      <name val="Arial"/>
      <family val="2"/>
    </font>
    <font>
      <sz val="18"/>
      <name val="Arial"/>
      <family val="2"/>
    </font>
    <font>
      <b/>
      <i/>
      <sz val="10"/>
      <name val="Arial"/>
      <family val="2"/>
    </font>
    <font>
      <b/>
      <sz val="9"/>
      <name val="Arial"/>
      <family val="2"/>
    </font>
    <font>
      <b/>
      <sz val="7"/>
      <name val="Arial"/>
      <family val="2"/>
    </font>
    <font>
      <b/>
      <sz val="7"/>
      <color indexed="9"/>
      <name val="Arial"/>
      <family val="2"/>
    </font>
    <font>
      <sz val="6"/>
      <name val="Arial"/>
      <family val="2"/>
    </font>
    <font>
      <b/>
      <sz val="10"/>
      <color indexed="9"/>
      <name val="Arial"/>
      <family val="2"/>
    </font>
    <font>
      <sz val="7"/>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8"/>
      <name val="Tahoma"/>
      <family val="2"/>
    </font>
    <font>
      <sz val="9"/>
      <name val="Tahoma"/>
      <family val="2"/>
    </font>
    <font>
      <sz val="8"/>
      <color indexed="10"/>
      <name val="Tahoma"/>
      <family val="2"/>
    </font>
    <font>
      <sz val="8"/>
      <name val="Tahoma"/>
      <family val="2"/>
    </font>
    <font>
      <b/>
      <sz val="8.5"/>
      <color indexed="9"/>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b/>
      <sz val="9"/>
      <name val="Tahoma"/>
      <family val="2"/>
    </font>
    <font>
      <sz val="18"/>
      <name val="Tahoma"/>
      <family val="2"/>
    </font>
    <font>
      <sz val="10"/>
      <name val="Arial CE"/>
      <family val="2"/>
    </font>
    <font>
      <sz val="14"/>
      <name val="Arial CE"/>
      <family val="2"/>
    </font>
    <font>
      <sz val="12"/>
      <color indexed="24"/>
      <name val="Arial"/>
      <family val="2"/>
    </font>
    <font>
      <b/>
      <i/>
      <sz val="14"/>
      <color indexed="8"/>
      <name val="Arial"/>
      <family val="2"/>
    </font>
    <font>
      <b/>
      <i/>
      <sz val="10"/>
      <color indexed="8"/>
      <name val="Arial"/>
      <family val="2"/>
    </font>
    <font>
      <b/>
      <sz val="12"/>
      <color indexed="8"/>
      <name val="Arial"/>
      <family val="2"/>
    </font>
    <font>
      <sz val="12"/>
      <color indexed="8"/>
      <name val="Arial"/>
      <family val="2"/>
    </font>
    <font>
      <sz val="14"/>
      <color indexed="8"/>
      <name val="Arial"/>
      <family val="2"/>
    </font>
    <font>
      <i/>
      <sz val="8"/>
      <color indexed="8"/>
      <name val="Arial"/>
      <family val="2"/>
    </font>
    <font>
      <i/>
      <sz val="10"/>
      <color indexed="8"/>
      <name val="Arial"/>
      <family val="2"/>
    </font>
    <font>
      <i/>
      <sz val="14"/>
      <color indexed="8"/>
      <name val="Arial"/>
      <family val="2"/>
    </font>
    <font>
      <sz val="11"/>
      <name val="Arial CE"/>
      <family val="2"/>
    </font>
    <font>
      <sz val="11"/>
      <color indexed="8"/>
      <name val="Arial"/>
      <family val="2"/>
    </font>
    <font>
      <sz val="8"/>
      <name val="Arial CE"/>
      <family val="2"/>
    </font>
    <font>
      <b/>
      <sz val="10"/>
      <name val="Arial CE"/>
      <family val="2"/>
    </font>
    <font>
      <b/>
      <sz val="11"/>
      <name val="Arial CE"/>
      <family val="2"/>
    </font>
    <font>
      <sz val="12"/>
      <name val="Arial CE"/>
      <family val="2"/>
    </font>
    <font>
      <b/>
      <sz val="11"/>
      <color indexed="8"/>
      <name val="Arial"/>
      <family val="2"/>
    </font>
    <font>
      <i/>
      <sz val="9"/>
      <color indexed="8"/>
      <name val="Arial"/>
      <family val="2"/>
    </font>
    <font>
      <i/>
      <sz val="12"/>
      <color indexed="8"/>
      <name val="Arial"/>
      <family val="2"/>
    </font>
    <font>
      <i/>
      <sz val="10"/>
      <color indexed="8"/>
      <name val="Times New Roman CE"/>
      <family val="1"/>
    </font>
    <font>
      <b/>
      <sz val="8"/>
      <name val="Calibri"/>
      <family val="2"/>
    </font>
    <font>
      <sz val="8"/>
      <color rgb="FFFF0000"/>
      <name val="Arial"/>
      <family val="2"/>
    </font>
  </fonts>
  <fills count="14">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indexed="63"/>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lightGray"/>
    </fill>
    <fill>
      <patternFill patternType="solid">
        <fgColor theme="4" tint="0.7999799847602844"/>
        <bgColor indexed="64"/>
      </patternFill>
    </fill>
    <fill>
      <patternFill patternType="solid">
        <fgColor theme="5" tint="0.5999900102615356"/>
        <bgColor indexed="64"/>
      </patternFill>
    </fill>
    <fill>
      <patternFill patternType="solid">
        <fgColor rgb="FFFFFF00"/>
        <bgColor indexed="64"/>
      </patternFill>
    </fill>
    <fill>
      <patternFill patternType="solid">
        <fgColor theme="3" tint="0.39998000860214233"/>
        <bgColor indexed="64"/>
      </patternFill>
    </fill>
  </fills>
  <borders count="25">
    <border>
      <left/>
      <right/>
      <top/>
      <bottom/>
      <diagonal/>
    </border>
    <border>
      <left/>
      <right/>
      <top/>
      <bottom style="medium"/>
    </border>
    <border>
      <left/>
      <right style="thin"/>
      <top style="medium"/>
      <bottom/>
    </border>
    <border>
      <left/>
      <right/>
      <top/>
      <bottom style="thin"/>
    </border>
    <border>
      <left style="thin"/>
      <right/>
      <top style="thin"/>
      <bottom/>
    </border>
    <border>
      <left/>
      <right style="thin"/>
      <top/>
      <bottom/>
    </border>
    <border>
      <left style="thin"/>
      <right/>
      <top/>
      <bottom style="thin"/>
    </border>
    <border>
      <left style="thin"/>
      <right style="thin"/>
      <top style="thin"/>
      <bottom/>
    </border>
    <border>
      <left style="thin"/>
      <right/>
      <top/>
      <bottom/>
    </border>
    <border>
      <left/>
      <right style="thin"/>
      <top style="thin"/>
      <bottom/>
    </border>
    <border>
      <left style="thin"/>
      <right style="thin"/>
      <top/>
      <bottom/>
    </border>
    <border>
      <left style="medium"/>
      <right style="medium"/>
      <top style="medium"/>
      <bottom/>
    </border>
    <border>
      <left style="medium"/>
      <right style="medium"/>
      <top/>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medium"/>
      <top/>
      <bottom/>
    </border>
    <border>
      <left/>
      <right style="thin">
        <color indexed="8"/>
      </right>
      <top style="thin"/>
      <bottom style="thin"/>
    </border>
    <border>
      <left/>
      <right/>
      <top style="thin"/>
      <bottom/>
    </border>
    <border>
      <left/>
      <right style="thin">
        <color indexed="8"/>
      </right>
      <top/>
      <bottom/>
    </border>
    <border>
      <left/>
      <right/>
      <top/>
      <bottom style="hair"/>
    </border>
    <border>
      <left style="thin"/>
      <right style="thin"/>
      <top/>
      <bottom style="thin"/>
    </border>
    <border>
      <left/>
      <right/>
      <top style="hair"/>
      <bottom style="hair"/>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164"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60" fillId="0" borderId="0">
      <alignment/>
      <protection/>
    </xf>
    <xf numFmtId="0" fontId="60" fillId="0" borderId="0">
      <alignment/>
      <protection/>
    </xf>
    <xf numFmtId="0" fontId="112" fillId="0" borderId="0">
      <alignment/>
      <protection/>
    </xf>
    <xf numFmtId="0" fontId="114" fillId="0" borderId="0">
      <alignment/>
      <protection/>
    </xf>
  </cellStyleXfs>
  <cellXfs count="556">
    <xf numFmtId="0" fontId="0" fillId="0" borderId="0" xfId="0"/>
    <xf numFmtId="0" fontId="3" fillId="0" borderId="0" xfId="20" applyFont="1" applyAlignment="1">
      <alignment horizontal="center"/>
      <protection/>
    </xf>
    <xf numFmtId="0" fontId="3" fillId="0" borderId="0" xfId="20" applyFont="1" applyAlignment="1">
      <alignment horizontal="center" vertical="center"/>
      <protection/>
    </xf>
    <xf numFmtId="0" fontId="4" fillId="0" borderId="0" xfId="21" applyFont="1">
      <alignment/>
      <protection/>
    </xf>
    <xf numFmtId="0" fontId="1" fillId="0" borderId="0" xfId="22" applyFont="1" applyAlignment="1">
      <alignment vertical="center"/>
      <protection/>
    </xf>
    <xf numFmtId="0" fontId="1" fillId="0" borderId="0" xfId="20" applyFont="1" applyAlignment="1">
      <alignment vertical="center"/>
      <protection/>
    </xf>
    <xf numFmtId="49" fontId="5" fillId="0" borderId="0" xfId="20" applyNumberFormat="1" applyFont="1" applyAlignment="1">
      <alignment vertical="center"/>
      <protection/>
    </xf>
    <xf numFmtId="49" fontId="6" fillId="0" borderId="0" xfId="20" applyNumberFormat="1" applyFont="1" applyAlignment="1">
      <alignment horizontal="right" vertical="top"/>
      <protection/>
    </xf>
    <xf numFmtId="49" fontId="6" fillId="0" borderId="0" xfId="20" applyNumberFormat="1" applyFont="1" applyAlignment="1">
      <alignment horizontal="center"/>
      <protection/>
    </xf>
    <xf numFmtId="49" fontId="7" fillId="0" borderId="0" xfId="20" applyNumberFormat="1" applyFont="1" applyAlignment="1">
      <alignment horizontal="center" vertical="top"/>
      <protection/>
    </xf>
    <xf numFmtId="49" fontId="3" fillId="0" borderId="0" xfId="20" applyNumberFormat="1" applyFont="1" applyAlignment="1">
      <alignment vertical="top"/>
      <protection/>
    </xf>
    <xf numFmtId="0" fontId="1" fillId="0" borderId="0" xfId="21">
      <alignment/>
      <protection/>
    </xf>
    <xf numFmtId="49" fontId="9" fillId="0" borderId="0" xfId="22" applyNumberFormat="1" applyFont="1" applyAlignment="1">
      <alignment horizontal="left"/>
      <protection/>
    </xf>
    <xf numFmtId="49" fontId="3" fillId="0" borderId="0" xfId="20" applyNumberFormat="1" applyFont="1" applyAlignment="1">
      <alignment horizontal="right"/>
      <protection/>
    </xf>
    <xf numFmtId="0" fontId="6" fillId="0" borderId="0" xfId="20" applyFont="1" applyAlignment="1">
      <alignment horizontal="center"/>
      <protection/>
    </xf>
    <xf numFmtId="49" fontId="3" fillId="0" borderId="0" xfId="20" applyNumberFormat="1" applyFont="1" applyAlignment="1">
      <alignment horizontal="center"/>
      <protection/>
    </xf>
    <xf numFmtId="49" fontId="3" fillId="0" borderId="0" xfId="20" applyNumberFormat="1" applyFont="1">
      <alignment/>
      <protection/>
    </xf>
    <xf numFmtId="49" fontId="6" fillId="2" borderId="0" xfId="20" applyNumberFormat="1" applyFont="1" applyFill="1" applyAlignment="1">
      <alignment vertical="center"/>
      <protection/>
    </xf>
    <xf numFmtId="49" fontId="6" fillId="2" borderId="0" xfId="20" applyNumberFormat="1" applyFont="1" applyFill="1" applyAlignment="1">
      <alignment horizontal="left" vertical="center"/>
      <protection/>
    </xf>
    <xf numFmtId="49" fontId="6" fillId="2" borderId="0" xfId="20" applyNumberFormat="1" applyFont="1" applyFill="1" applyAlignment="1">
      <alignment horizontal="right" vertical="center"/>
      <protection/>
    </xf>
    <xf numFmtId="49" fontId="6" fillId="2" borderId="0" xfId="20" applyNumberFormat="1" applyFont="1" applyFill="1" applyAlignment="1">
      <alignment horizontal="center" vertical="center"/>
      <protection/>
    </xf>
    <xf numFmtId="0" fontId="3" fillId="0" borderId="1" xfId="20" applyFont="1" applyBorder="1" applyAlignment="1">
      <alignment horizontal="center"/>
      <protection/>
    </xf>
    <xf numFmtId="0" fontId="3" fillId="0" borderId="1" xfId="20" applyFont="1" applyBorder="1" applyAlignment="1">
      <alignment horizontal="center" vertical="center"/>
      <protection/>
    </xf>
    <xf numFmtId="14" fontId="10" fillId="0" borderId="1" xfId="20" applyNumberFormat="1" applyFont="1" applyBorder="1" applyAlignment="1">
      <alignment horizontal="left" vertical="center"/>
      <protection/>
    </xf>
    <xf numFmtId="49" fontId="3" fillId="0" borderId="1" xfId="20" applyNumberFormat="1" applyFont="1" applyBorder="1" applyAlignment="1">
      <alignment vertical="center"/>
      <protection/>
    </xf>
    <xf numFmtId="49" fontId="6" fillId="0" borderId="1" xfId="20" applyNumberFormat="1" applyFont="1" applyBorder="1" applyAlignment="1">
      <alignment vertical="top"/>
      <protection/>
    </xf>
    <xf numFmtId="49" fontId="3" fillId="0" borderId="1" xfId="20" applyNumberFormat="1" applyFont="1" applyBorder="1" applyAlignment="1">
      <alignment horizontal="right" vertical="center"/>
      <protection/>
    </xf>
    <xf numFmtId="49" fontId="3" fillId="0" borderId="1" xfId="23" applyNumberFormat="1" applyFont="1" applyBorder="1" applyAlignment="1" applyProtection="1">
      <alignment horizontal="center" vertical="center"/>
      <protection locked="0"/>
    </xf>
    <xf numFmtId="0" fontId="10" fillId="0" borderId="1" xfId="21" applyFont="1" applyBorder="1" applyAlignment="1">
      <alignment horizontal="center" vertical="center"/>
      <protection/>
    </xf>
    <xf numFmtId="49" fontId="3" fillId="0" borderId="1" xfId="21" applyNumberFormat="1" applyFont="1" applyBorder="1" applyAlignment="1">
      <alignment horizontal="center" vertical="center"/>
      <protection/>
    </xf>
    <xf numFmtId="0" fontId="1" fillId="0" borderId="1" xfId="21" applyBorder="1">
      <alignment/>
      <protection/>
    </xf>
    <xf numFmtId="49" fontId="3" fillId="0" borderId="0" xfId="20" applyNumberFormat="1" applyFont="1" applyFill="1" applyAlignment="1">
      <alignment horizontal="center" vertical="center"/>
      <protection/>
    </xf>
    <xf numFmtId="49" fontId="3" fillId="0" borderId="2" xfId="20" applyNumberFormat="1" applyFont="1" applyFill="1" applyBorder="1" applyAlignment="1">
      <alignment horizontal="center" vertical="center"/>
      <protection/>
    </xf>
    <xf numFmtId="49" fontId="3" fillId="0" borderId="0" xfId="20" applyNumberFormat="1" applyFont="1" applyFill="1" applyAlignment="1">
      <alignment horizontal="left" vertical="center"/>
      <protection/>
    </xf>
    <xf numFmtId="49" fontId="3" fillId="0" borderId="0" xfId="20" applyNumberFormat="1" applyFont="1" applyFill="1" applyAlignment="1">
      <alignment horizontal="right" vertical="center"/>
      <protection/>
    </xf>
    <xf numFmtId="0" fontId="2" fillId="0" borderId="0" xfId="20" applyAlignment="1">
      <alignment horizontal="center"/>
      <protection/>
    </xf>
    <xf numFmtId="0" fontId="6" fillId="0" borderId="3" xfId="20" applyFont="1" applyBorder="1" applyAlignment="1">
      <alignment horizontal="left"/>
      <protection/>
    </xf>
    <xf numFmtId="0" fontId="11" fillId="3" borderId="3" xfId="21" applyFont="1" applyFill="1" applyBorder="1" applyAlignment="1">
      <alignment vertical="center" wrapText="1"/>
      <protection/>
    </xf>
    <xf numFmtId="0" fontId="11" fillId="3" borderId="3" xfId="21" applyFont="1" applyFill="1" applyBorder="1" applyAlignment="1">
      <alignment horizontal="right" vertical="center" wrapText="1"/>
      <protection/>
    </xf>
    <xf numFmtId="49" fontId="3" fillId="0" borderId="0" xfId="20" applyNumberFormat="1" applyFont="1" applyFill="1" applyAlignment="1">
      <alignment horizontal="center"/>
      <protection/>
    </xf>
    <xf numFmtId="49" fontId="3" fillId="0" borderId="0" xfId="20" applyNumberFormat="1" applyFont="1" applyFill="1" applyBorder="1" applyAlignment="1">
      <alignment horizontal="center"/>
      <protection/>
    </xf>
    <xf numFmtId="0" fontId="11" fillId="3" borderId="3" xfId="21" applyFont="1" applyFill="1" applyBorder="1" applyAlignment="1">
      <alignment horizontal="center" vertical="center" wrapText="1"/>
      <protection/>
    </xf>
    <xf numFmtId="49" fontId="6" fillId="0" borderId="4" xfId="20" applyNumberFormat="1" applyFont="1" applyBorder="1">
      <alignment/>
      <protection/>
    </xf>
    <xf numFmtId="49" fontId="6" fillId="0" borderId="0" xfId="20" applyNumberFormat="1" applyFont="1" applyBorder="1">
      <alignment/>
      <protection/>
    </xf>
    <xf numFmtId="49" fontId="3" fillId="0" borderId="0" xfId="20" applyNumberFormat="1" applyFont="1" applyBorder="1">
      <alignment/>
      <protection/>
    </xf>
    <xf numFmtId="49" fontId="3" fillId="0" borderId="5" xfId="20" applyNumberFormat="1" applyFont="1" applyBorder="1" applyAlignment="1">
      <alignment horizontal="right"/>
      <protection/>
    </xf>
    <xf numFmtId="0" fontId="1" fillId="0" borderId="0" xfId="21" applyAlignment="1">
      <alignment horizontal="center"/>
      <protection/>
    </xf>
    <xf numFmtId="49" fontId="12" fillId="0" borderId="0" xfId="20" applyNumberFormat="1" applyFont="1" applyFill="1" applyBorder="1" applyAlignment="1">
      <alignment horizontal="center"/>
      <protection/>
    </xf>
    <xf numFmtId="0" fontId="3" fillId="0" borderId="0" xfId="20" applyFont="1" applyBorder="1" applyAlignment="1">
      <alignment horizontal="center"/>
      <protection/>
    </xf>
    <xf numFmtId="49" fontId="3" fillId="0" borderId="5" xfId="20" applyNumberFormat="1" applyFont="1" applyFill="1" applyBorder="1" applyAlignment="1">
      <alignment horizontal="center"/>
      <protection/>
    </xf>
    <xf numFmtId="49" fontId="6" fillId="0" borderId="6" xfId="20" applyNumberFormat="1" applyFont="1" applyBorder="1">
      <alignment/>
      <protection/>
    </xf>
    <xf numFmtId="49" fontId="3" fillId="0" borderId="3" xfId="20" applyNumberFormat="1" applyFont="1" applyBorder="1" applyAlignment="1">
      <alignment/>
      <protection/>
    </xf>
    <xf numFmtId="0" fontId="13" fillId="0" borderId="3" xfId="21" applyFont="1" applyBorder="1">
      <alignment/>
      <protection/>
    </xf>
    <xf numFmtId="0" fontId="13" fillId="0" borderId="3" xfId="21" applyFont="1" applyBorder="1" applyAlignment="1">
      <alignment horizontal="right"/>
      <protection/>
    </xf>
    <xf numFmtId="49" fontId="3" fillId="0" borderId="7" xfId="20" applyNumberFormat="1" applyFont="1" applyFill="1" applyBorder="1" applyAlignment="1">
      <alignment horizontal="center"/>
      <protection/>
    </xf>
    <xf numFmtId="49" fontId="3" fillId="0" borderId="8" xfId="20" applyNumberFormat="1" applyFont="1" applyBorder="1" applyAlignment="1">
      <alignment horizontal="center"/>
      <protection/>
    </xf>
    <xf numFmtId="49" fontId="12" fillId="0" borderId="0" xfId="20" applyNumberFormat="1" applyFont="1" applyFill="1" applyBorder="1" applyAlignment="1">
      <alignment/>
      <protection/>
    </xf>
    <xf numFmtId="0" fontId="14" fillId="0" borderId="0" xfId="21" applyFont="1" applyFill="1" applyBorder="1">
      <alignment/>
      <protection/>
    </xf>
    <xf numFmtId="0" fontId="1" fillId="0" borderId="0" xfId="21" applyFill="1" applyBorder="1">
      <alignment/>
      <protection/>
    </xf>
    <xf numFmtId="49" fontId="3" fillId="0" borderId="8" xfId="20" applyNumberFormat="1" applyFont="1" applyFill="1" applyBorder="1" applyAlignment="1">
      <alignment horizontal="center"/>
      <protection/>
    </xf>
    <xf numFmtId="49" fontId="6" fillId="0" borderId="0" xfId="20" applyNumberFormat="1" applyFont="1">
      <alignment/>
      <protection/>
    </xf>
    <xf numFmtId="49" fontId="3" fillId="0" borderId="0" xfId="20" applyNumberFormat="1" applyFont="1" applyBorder="1" applyAlignment="1">
      <alignment horizontal="center"/>
      <protection/>
    </xf>
    <xf numFmtId="49" fontId="3" fillId="0" borderId="9" xfId="20" applyNumberFormat="1" applyFont="1" applyFill="1" applyBorder="1" applyAlignment="1">
      <alignment horizontal="center"/>
      <protection/>
    </xf>
    <xf numFmtId="49" fontId="6" fillId="0" borderId="3" xfId="20" applyNumberFormat="1" applyFont="1" applyBorder="1">
      <alignment/>
      <protection/>
    </xf>
    <xf numFmtId="49" fontId="3" fillId="0" borderId="7" xfId="20" applyNumberFormat="1" applyFont="1" applyBorder="1" applyAlignment="1">
      <alignment horizontal="center"/>
      <protection/>
    </xf>
    <xf numFmtId="49" fontId="3" fillId="0" borderId="10" xfId="20" applyNumberFormat="1" applyFont="1" applyFill="1" applyBorder="1" applyAlignment="1">
      <alignment horizontal="center"/>
      <protection/>
    </xf>
    <xf numFmtId="49" fontId="3" fillId="4" borderId="10" xfId="20" applyNumberFormat="1" applyFont="1" applyFill="1" applyBorder="1" applyAlignment="1">
      <alignment horizontal="center"/>
      <protection/>
    </xf>
    <xf numFmtId="49" fontId="3" fillId="4" borderId="4" xfId="20" applyNumberFormat="1" applyFont="1" applyFill="1" applyBorder="1" applyAlignment="1">
      <alignment horizontal="center"/>
      <protection/>
    </xf>
    <xf numFmtId="49" fontId="3" fillId="4" borderId="5" xfId="20" applyNumberFormat="1" applyFont="1" applyFill="1" applyBorder="1" applyAlignment="1">
      <alignment horizontal="center"/>
      <protection/>
    </xf>
    <xf numFmtId="49" fontId="3" fillId="4" borderId="0" xfId="20" applyNumberFormat="1" applyFont="1" applyFill="1" applyAlignment="1">
      <alignment horizontal="center"/>
      <protection/>
    </xf>
    <xf numFmtId="0" fontId="11" fillId="4" borderId="5" xfId="21" applyFont="1" applyFill="1" applyBorder="1" applyAlignment="1">
      <alignment horizontal="center" vertical="center" wrapText="1"/>
      <protection/>
    </xf>
    <xf numFmtId="49" fontId="3" fillId="4" borderId="7" xfId="20" applyNumberFormat="1" applyFont="1" applyFill="1" applyBorder="1" applyAlignment="1">
      <alignment horizontal="center"/>
      <protection/>
    </xf>
    <xf numFmtId="49" fontId="3" fillId="4" borderId="8" xfId="20" applyNumberFormat="1" applyFont="1" applyFill="1" applyBorder="1" applyAlignment="1">
      <alignment horizontal="center"/>
      <protection/>
    </xf>
    <xf numFmtId="49" fontId="3" fillId="0" borderId="8" xfId="20" applyNumberFormat="1" applyFont="1" applyBorder="1">
      <alignment/>
      <protection/>
    </xf>
    <xf numFmtId="0" fontId="11" fillId="3" borderId="0" xfId="21" applyFont="1" applyFill="1" applyBorder="1" applyAlignment="1">
      <alignment vertical="center" wrapText="1"/>
      <protection/>
    </xf>
    <xf numFmtId="0" fontId="11" fillId="3" borderId="0" xfId="21" applyFont="1" applyFill="1" applyBorder="1" applyAlignment="1">
      <alignment horizontal="center" vertical="center" wrapText="1"/>
      <protection/>
    </xf>
    <xf numFmtId="49" fontId="6" fillId="0" borderId="0" xfId="20" applyNumberFormat="1" applyFont="1" applyFill="1" applyBorder="1" applyAlignment="1">
      <alignment horizontal="center" vertical="center"/>
      <protection/>
    </xf>
    <xf numFmtId="49" fontId="6" fillId="0" borderId="0" xfId="20" applyNumberFormat="1" applyFont="1" applyBorder="1">
      <alignment/>
      <protection/>
    </xf>
    <xf numFmtId="0" fontId="11" fillId="3" borderId="0" xfId="21" applyFont="1" applyFill="1" applyBorder="1" applyAlignment="1">
      <alignment horizontal="right" vertical="center" wrapText="1"/>
      <protection/>
    </xf>
    <xf numFmtId="49" fontId="3" fillId="4" borderId="0" xfId="20" applyNumberFormat="1" applyFont="1" applyFill="1" applyBorder="1" applyAlignment="1">
      <alignment horizontal="center"/>
      <protection/>
    </xf>
    <xf numFmtId="49" fontId="3" fillId="0" borderId="0" xfId="20" applyNumberFormat="1" applyFont="1" applyFill="1" applyBorder="1" applyAlignment="1">
      <alignment horizontal="right" vertical="center"/>
      <protection/>
    </xf>
    <xf numFmtId="49" fontId="12" fillId="4" borderId="0" xfId="20" applyNumberFormat="1" applyFont="1" applyFill="1" applyBorder="1" applyAlignment="1">
      <alignment horizontal="center" vertical="center"/>
      <protection/>
    </xf>
    <xf numFmtId="49" fontId="6" fillId="0" borderId="0" xfId="20" applyNumberFormat="1" applyFont="1" applyBorder="1" applyAlignment="1">
      <alignment vertical="top"/>
      <protection/>
    </xf>
    <xf numFmtId="49" fontId="3" fillId="0" borderId="0" xfId="20" applyNumberFormat="1" applyFont="1" applyBorder="1" applyAlignment="1">
      <alignment vertical="top"/>
      <protection/>
    </xf>
    <xf numFmtId="49" fontId="6" fillId="0" borderId="0" xfId="20" applyNumberFormat="1" applyFont="1" applyBorder="1" applyAlignment="1">
      <alignment horizontal="right" vertical="top"/>
      <protection/>
    </xf>
    <xf numFmtId="49" fontId="6" fillId="0" borderId="0" xfId="20" applyNumberFormat="1" applyFont="1" applyBorder="1" applyAlignment="1">
      <alignment horizontal="center"/>
      <protection/>
    </xf>
    <xf numFmtId="49" fontId="9" fillId="0" borderId="0" xfId="20" applyNumberFormat="1" applyFont="1" applyBorder="1" applyAlignment="1">
      <alignment horizontal="center"/>
      <protection/>
    </xf>
    <xf numFmtId="49" fontId="9" fillId="0" borderId="0" xfId="20" applyNumberFormat="1" applyFont="1" applyBorder="1" applyAlignment="1">
      <alignment horizontal="left"/>
      <protection/>
    </xf>
    <xf numFmtId="49" fontId="9" fillId="0" borderId="0" xfId="20" applyNumberFormat="1" applyFont="1" applyBorder="1">
      <alignment/>
      <protection/>
    </xf>
    <xf numFmtId="49" fontId="3" fillId="0" borderId="0" xfId="20" applyNumberFormat="1" applyFont="1" applyBorder="1" applyAlignment="1">
      <alignment horizontal="right"/>
      <protection/>
    </xf>
    <xf numFmtId="49" fontId="6" fillId="0" borderId="0" xfId="20" applyNumberFormat="1" applyFont="1" applyFill="1" applyBorder="1" applyAlignment="1">
      <alignment vertical="center"/>
      <protection/>
    </xf>
    <xf numFmtId="49" fontId="6" fillId="0" borderId="0" xfId="20" applyNumberFormat="1" applyFont="1" applyFill="1" applyBorder="1" applyAlignment="1">
      <alignment horizontal="right" vertical="center"/>
      <protection/>
    </xf>
    <xf numFmtId="49" fontId="17" fillId="0" borderId="0" xfId="20" applyNumberFormat="1" applyFont="1" applyFill="1" applyBorder="1" applyAlignment="1">
      <alignment horizontal="center" vertical="center"/>
      <protection/>
    </xf>
    <xf numFmtId="49" fontId="17" fillId="0" borderId="0" xfId="20" applyNumberFormat="1" applyFont="1" applyFill="1" applyBorder="1" applyAlignment="1">
      <alignment vertical="center"/>
      <protection/>
    </xf>
    <xf numFmtId="49" fontId="10" fillId="0" borderId="0" xfId="20" applyNumberFormat="1" applyFont="1" applyBorder="1" applyAlignment="1">
      <alignment horizontal="left" vertical="center"/>
      <protection/>
    </xf>
    <xf numFmtId="49" fontId="3" fillId="0" borderId="0" xfId="20" applyNumberFormat="1" applyFont="1" applyBorder="1" applyAlignment="1">
      <alignment vertical="center"/>
      <protection/>
    </xf>
    <xf numFmtId="49" fontId="3" fillId="0" borderId="0" xfId="20" applyNumberFormat="1" applyFont="1" applyBorder="1" applyAlignment="1">
      <alignment horizontal="left" vertical="center"/>
      <protection/>
    </xf>
    <xf numFmtId="49" fontId="3" fillId="0" borderId="0" xfId="20" applyNumberFormat="1" applyFont="1" applyBorder="1" applyAlignment="1">
      <alignment horizontal="right" vertical="center"/>
      <protection/>
    </xf>
    <xf numFmtId="49" fontId="3" fillId="0" borderId="0" xfId="23" applyNumberFormat="1" applyFont="1" applyBorder="1" applyAlignment="1" applyProtection="1">
      <alignment horizontal="center" vertical="center"/>
      <protection locked="0"/>
    </xf>
    <xf numFmtId="49" fontId="10" fillId="0" borderId="0" xfId="20" applyNumberFormat="1" applyFont="1" applyBorder="1" applyAlignment="1">
      <alignment horizontal="center" vertical="center"/>
      <protection/>
    </xf>
    <xf numFmtId="49" fontId="3" fillId="0" borderId="0" xfId="20" applyNumberFormat="1" applyFont="1" applyBorder="1" applyAlignment="1">
      <alignment horizontal="center" vertical="center"/>
      <protection/>
    </xf>
    <xf numFmtId="0" fontId="11" fillId="3" borderId="0" xfId="21" applyFont="1" applyFill="1" applyBorder="1" applyAlignment="1">
      <alignment horizontal="center" wrapText="1"/>
      <protection/>
    </xf>
    <xf numFmtId="0" fontId="11" fillId="0" borderId="0" xfId="21" applyFont="1" applyBorder="1" applyAlignment="1">
      <alignment vertical="center" wrapText="1"/>
      <protection/>
    </xf>
    <xf numFmtId="0" fontId="13" fillId="0" borderId="0" xfId="21" applyFont="1" applyBorder="1">
      <alignment/>
      <protection/>
    </xf>
    <xf numFmtId="0" fontId="11" fillId="0" borderId="0" xfId="21" applyFont="1" applyBorder="1" applyAlignment="1">
      <alignment horizontal="right" vertical="center" wrapText="1"/>
      <protection/>
    </xf>
    <xf numFmtId="49" fontId="3" fillId="0" borderId="0" xfId="20" applyNumberFormat="1" applyFont="1" applyBorder="1">
      <alignment/>
      <protection/>
    </xf>
    <xf numFmtId="0" fontId="1" fillId="0" borderId="0" xfId="21" applyBorder="1">
      <alignment/>
      <protection/>
    </xf>
    <xf numFmtId="0" fontId="11" fillId="0" borderId="0" xfId="21" applyFont="1" applyBorder="1" applyAlignment="1">
      <alignment horizontal="center" vertical="center" wrapText="1"/>
      <protection/>
    </xf>
    <xf numFmtId="0" fontId="11" fillId="3" borderId="0" xfId="21" applyFont="1" applyFill="1" applyBorder="1" applyAlignment="1">
      <alignment wrapText="1"/>
      <protection/>
    </xf>
    <xf numFmtId="0" fontId="13" fillId="0" borderId="0" xfId="21" applyFont="1" applyBorder="1" applyAlignment="1">
      <alignment horizontal="center"/>
      <protection/>
    </xf>
    <xf numFmtId="49" fontId="5" fillId="0" borderId="0" xfId="20" applyNumberFormat="1" applyFont="1" applyFill="1" applyBorder="1" applyAlignment="1">
      <alignment horizontal="center" vertical="center"/>
      <protection/>
    </xf>
    <xf numFmtId="49" fontId="18" fillId="0" borderId="0" xfId="20" applyNumberFormat="1" applyFont="1" applyFill="1" applyBorder="1" applyAlignment="1">
      <alignment horizontal="center" vertical="center"/>
      <protection/>
    </xf>
    <xf numFmtId="0" fontId="7" fillId="0" borderId="0" xfId="20" applyFont="1">
      <alignment/>
      <protection/>
    </xf>
    <xf numFmtId="0" fontId="3" fillId="0" borderId="0" xfId="20" applyFont="1">
      <alignment/>
      <protection/>
    </xf>
    <xf numFmtId="0" fontId="7" fillId="0" borderId="0" xfId="20" applyFont="1" applyAlignment="1">
      <alignment horizontal="right"/>
      <protection/>
    </xf>
    <xf numFmtId="0" fontId="1" fillId="0" borderId="0" xfId="21" applyAlignment="1">
      <alignment horizontal="right"/>
      <protection/>
    </xf>
    <xf numFmtId="0" fontId="11" fillId="4" borderId="8" xfId="21" applyFont="1" applyFill="1" applyBorder="1" applyAlignment="1">
      <alignment horizontal="center" vertical="center" wrapText="1"/>
      <protection/>
    </xf>
    <xf numFmtId="49" fontId="20" fillId="0" borderId="0" xfId="20" applyNumberFormat="1" applyFont="1" applyAlignment="1">
      <alignment horizontal="left"/>
      <protection/>
    </xf>
    <xf numFmtId="0" fontId="0" fillId="0" borderId="3" xfId="0" applyBorder="1"/>
    <xf numFmtId="49" fontId="3" fillId="0" borderId="11" xfId="20" applyNumberFormat="1" applyFont="1" applyBorder="1" applyAlignment="1">
      <alignment horizontal="center"/>
      <protection/>
    </xf>
    <xf numFmtId="0" fontId="11" fillId="3" borderId="12" xfId="21" applyFont="1" applyFill="1" applyBorder="1" applyAlignment="1">
      <alignment horizontal="center" vertical="center" wrapText="1"/>
      <protection/>
    </xf>
    <xf numFmtId="49" fontId="3" fillId="0" borderId="11" xfId="20" applyNumberFormat="1" applyFont="1" applyFill="1" applyBorder="1" applyAlignment="1">
      <alignment horizontal="center"/>
      <protection/>
    </xf>
    <xf numFmtId="49" fontId="21" fillId="0" borderId="0" xfId="20" applyNumberFormat="1" applyFont="1" applyAlignment="1">
      <alignment horizontal="left"/>
      <protection/>
    </xf>
    <xf numFmtId="0" fontId="11" fillId="3" borderId="6" xfId="21" applyFont="1" applyFill="1" applyBorder="1" applyAlignment="1">
      <alignment horizontal="center" vertical="center" wrapText="1"/>
      <protection/>
    </xf>
    <xf numFmtId="0" fontId="11" fillId="3" borderId="13" xfId="21" applyFont="1" applyFill="1" applyBorder="1" applyAlignment="1">
      <alignment horizontal="center" vertical="center" wrapText="1"/>
      <protection/>
    </xf>
    <xf numFmtId="0" fontId="11" fillId="3" borderId="13" xfId="21" applyFont="1" applyFill="1" applyBorder="1" applyAlignment="1">
      <alignment horizontal="center" wrapText="1"/>
      <protection/>
    </xf>
    <xf numFmtId="49" fontId="3" fillId="0" borderId="13" xfId="20" applyNumberFormat="1" applyFont="1" applyFill="1" applyBorder="1" applyAlignment="1">
      <alignment horizontal="center"/>
      <protection/>
    </xf>
    <xf numFmtId="49" fontId="12" fillId="4" borderId="5" xfId="20" applyNumberFormat="1" applyFont="1" applyFill="1" applyBorder="1" applyAlignment="1">
      <alignment horizontal="center" vertical="center"/>
      <protection/>
    </xf>
    <xf numFmtId="49" fontId="17" fillId="0" borderId="8" xfId="20" applyNumberFormat="1" applyFont="1" applyFill="1" applyBorder="1" applyAlignment="1">
      <alignment horizontal="center" vertical="center"/>
      <protection/>
    </xf>
    <xf numFmtId="49" fontId="10" fillId="0" borderId="6" xfId="20" applyNumberFormat="1" applyFont="1" applyBorder="1" applyAlignment="1">
      <alignment horizontal="center" vertical="center"/>
      <protection/>
    </xf>
    <xf numFmtId="49" fontId="3" fillId="0" borderId="6" xfId="20" applyNumberFormat="1" applyFont="1" applyBorder="1" applyAlignment="1">
      <alignment horizontal="center"/>
      <protection/>
    </xf>
    <xf numFmtId="49" fontId="6" fillId="0" borderId="7" xfId="20" applyNumberFormat="1" applyFont="1" applyFill="1" applyBorder="1" applyAlignment="1">
      <alignment horizontal="center" vertical="center"/>
      <protection/>
    </xf>
    <xf numFmtId="49" fontId="3" fillId="0" borderId="4" xfId="20" applyNumberFormat="1" applyFont="1" applyFill="1" applyBorder="1" applyAlignment="1">
      <alignment horizontal="center"/>
      <protection/>
    </xf>
    <xf numFmtId="0" fontId="11" fillId="3" borderId="8" xfId="21" applyFont="1" applyFill="1" applyBorder="1" applyAlignment="1">
      <alignment horizontal="center" vertical="center" wrapText="1"/>
      <protection/>
    </xf>
    <xf numFmtId="0" fontId="11" fillId="3" borderId="5" xfId="21" applyFont="1" applyFill="1" applyBorder="1" applyAlignment="1">
      <alignment horizontal="center" vertical="center" wrapText="1"/>
      <protection/>
    </xf>
    <xf numFmtId="0" fontId="1" fillId="0" borderId="5" xfId="21" applyBorder="1">
      <alignment/>
      <protection/>
    </xf>
    <xf numFmtId="49" fontId="6" fillId="0" borderId="0" xfId="20" applyNumberFormat="1" applyFont="1" applyBorder="1" applyAlignment="1">
      <alignment/>
      <protection/>
    </xf>
    <xf numFmtId="49" fontId="17" fillId="4" borderId="0" xfId="20" applyNumberFormat="1" applyFont="1" applyFill="1" applyBorder="1" applyAlignment="1">
      <alignment vertical="center"/>
      <protection/>
    </xf>
    <xf numFmtId="49" fontId="17" fillId="4" borderId="8" xfId="20" applyNumberFormat="1" applyFont="1" applyFill="1" applyBorder="1" applyAlignment="1">
      <alignment vertical="center"/>
      <protection/>
    </xf>
    <xf numFmtId="49" fontId="17" fillId="0" borderId="8" xfId="20" applyNumberFormat="1" applyFont="1" applyFill="1" applyBorder="1" applyAlignment="1">
      <alignment vertical="center"/>
      <protection/>
    </xf>
    <xf numFmtId="49" fontId="3" fillId="0" borderId="8" xfId="20" applyNumberFormat="1" applyFont="1" applyBorder="1" applyAlignment="1">
      <alignment horizontal="center" vertical="center"/>
      <protection/>
    </xf>
    <xf numFmtId="49" fontId="6" fillId="0" borderId="11" xfId="20" applyNumberFormat="1" applyFont="1" applyBorder="1" applyAlignment="1">
      <alignment/>
      <protection/>
    </xf>
    <xf numFmtId="49" fontId="17" fillId="4" borderId="12" xfId="20" applyNumberFormat="1" applyFont="1" applyFill="1" applyBorder="1" applyAlignment="1">
      <alignment vertical="center"/>
      <protection/>
    </xf>
    <xf numFmtId="0" fontId="1" fillId="0" borderId="11" xfId="21" applyBorder="1">
      <alignment/>
      <protection/>
    </xf>
    <xf numFmtId="0" fontId="1" fillId="0" borderId="12" xfId="21" applyBorder="1">
      <alignment/>
      <protection/>
    </xf>
    <xf numFmtId="0" fontId="22" fillId="3" borderId="3" xfId="21" applyFont="1" applyFill="1" applyBorder="1" applyAlignment="1">
      <alignment vertical="center" wrapText="1"/>
      <protection/>
    </xf>
    <xf numFmtId="49" fontId="24" fillId="0" borderId="0" xfId="24" applyNumberFormat="1" applyFont="1" applyAlignment="1">
      <alignment vertical="top"/>
      <protection/>
    </xf>
    <xf numFmtId="49" fontId="25" fillId="0" borderId="0" xfId="24" applyNumberFormat="1" applyFont="1" applyAlignment="1">
      <alignment vertical="top"/>
      <protection/>
    </xf>
    <xf numFmtId="49" fontId="26" fillId="0" borderId="0" xfId="24" applyNumberFormat="1" applyFont="1" applyAlignment="1">
      <alignment vertical="top"/>
      <protection/>
    </xf>
    <xf numFmtId="49" fontId="27" fillId="0" borderId="0" xfId="24" applyNumberFormat="1" applyFont="1" applyAlignment="1">
      <alignment vertical="top"/>
      <protection/>
    </xf>
    <xf numFmtId="49" fontId="12" fillId="0" borderId="0" xfId="24" applyNumberFormat="1" applyFont="1" applyAlignment="1">
      <alignment horizontal="left"/>
      <protection/>
    </xf>
    <xf numFmtId="49" fontId="28" fillId="0" borderId="0" xfId="24" applyNumberFormat="1" applyFont="1" applyAlignment="1">
      <alignment horizontal="left"/>
      <protection/>
    </xf>
    <xf numFmtId="49" fontId="5" fillId="0" borderId="0" xfId="24" applyNumberFormat="1" applyFont="1" applyAlignment="1">
      <alignment horizontal="left"/>
      <protection/>
    </xf>
    <xf numFmtId="0" fontId="26" fillId="0" borderId="0" xfId="24" applyFont="1" applyAlignment="1">
      <alignment vertical="top"/>
      <protection/>
    </xf>
    <xf numFmtId="0" fontId="29" fillId="0" borderId="0" xfId="24" applyFont="1" applyAlignment="1">
      <alignment horizontal="center" vertical="top"/>
      <protection/>
    </xf>
    <xf numFmtId="0" fontId="30" fillId="0" borderId="0" xfId="24" applyFont="1" applyFill="1" applyBorder="1" applyAlignment="1">
      <alignment horizontal="left" vertical="top"/>
      <protection/>
    </xf>
    <xf numFmtId="0" fontId="26" fillId="0" borderId="0" xfId="24" applyFont="1" applyFill="1" applyBorder="1" applyAlignment="1">
      <alignment vertical="top"/>
      <protection/>
    </xf>
    <xf numFmtId="0" fontId="29" fillId="0" borderId="0" xfId="24" applyFont="1" applyFill="1" applyBorder="1" applyAlignment="1">
      <alignment vertical="top"/>
      <protection/>
    </xf>
    <xf numFmtId="49" fontId="31" fillId="0" borderId="0" xfId="24" applyNumberFormat="1" applyFont="1" applyAlignment="1">
      <alignment horizontal="center"/>
      <protection/>
    </xf>
    <xf numFmtId="49" fontId="31" fillId="0" borderId="0" xfId="24" applyNumberFormat="1" applyFont="1" applyAlignment="1">
      <alignment horizontal="left"/>
      <protection/>
    </xf>
    <xf numFmtId="0" fontId="31" fillId="0" borderId="0" xfId="24" applyNumberFormat="1" applyFont="1" applyAlignment="1">
      <alignment horizontal="left"/>
      <protection/>
    </xf>
    <xf numFmtId="49" fontId="31" fillId="0" borderId="0" xfId="24" applyNumberFormat="1" applyFont="1">
      <alignment/>
      <protection/>
    </xf>
    <xf numFmtId="49" fontId="1" fillId="0" borderId="0" xfId="24" applyNumberFormat="1" applyFont="1">
      <alignment/>
      <protection/>
    </xf>
    <xf numFmtId="49" fontId="29" fillId="0" borderId="0" xfId="24" applyNumberFormat="1" applyFont="1">
      <alignment/>
      <protection/>
    </xf>
    <xf numFmtId="0" fontId="5" fillId="0" borderId="0" xfId="24" applyFont="1">
      <alignment/>
      <protection/>
    </xf>
    <xf numFmtId="49" fontId="32" fillId="0" borderId="0" xfId="24" applyNumberFormat="1" applyFont="1" applyAlignment="1">
      <alignment horizontal="left"/>
      <protection/>
    </xf>
    <xf numFmtId="0" fontId="1" fillId="0" borderId="0" xfId="24" applyFont="1">
      <alignment/>
      <protection/>
    </xf>
    <xf numFmtId="0" fontId="29" fillId="0" borderId="0" xfId="24" applyFont="1" applyAlignment="1">
      <alignment horizontal="center"/>
      <protection/>
    </xf>
    <xf numFmtId="49" fontId="3" fillId="0" borderId="0" xfId="24" applyNumberFormat="1" applyFont="1" applyFill="1" applyBorder="1" applyAlignment="1">
      <alignment horizontal="right" vertical="center"/>
      <protection/>
    </xf>
    <xf numFmtId="49" fontId="3" fillId="0" borderId="0" xfId="24" applyNumberFormat="1" applyFont="1" applyFill="1" applyBorder="1" applyAlignment="1">
      <alignment horizontal="left" vertical="center"/>
      <protection/>
    </xf>
    <xf numFmtId="0" fontId="3" fillId="0" borderId="0" xfId="24" applyFont="1" applyFill="1" applyBorder="1">
      <alignment/>
      <protection/>
    </xf>
    <xf numFmtId="0" fontId="1" fillId="0" borderId="0" xfId="24" applyFont="1" applyFill="1" applyBorder="1">
      <alignment/>
      <protection/>
    </xf>
    <xf numFmtId="0" fontId="29" fillId="0" borderId="0" xfId="24" applyFont="1" applyFill="1" applyBorder="1">
      <alignment/>
      <protection/>
    </xf>
    <xf numFmtId="0" fontId="1" fillId="0" borderId="0" xfId="24">
      <alignment/>
      <protection/>
    </xf>
    <xf numFmtId="49" fontId="33" fillId="2" borderId="0" xfId="24" applyNumberFormat="1" applyFont="1" applyFill="1" applyAlignment="1">
      <alignment vertical="center"/>
      <protection/>
    </xf>
    <xf numFmtId="49" fontId="33" fillId="2" borderId="0" xfId="24" applyNumberFormat="1" applyFont="1" applyFill="1" applyAlignment="1">
      <alignment horizontal="left" vertical="center"/>
      <protection/>
    </xf>
    <xf numFmtId="49" fontId="34" fillId="2" borderId="0" xfId="24" applyNumberFormat="1" applyFont="1" applyFill="1" applyAlignment="1">
      <alignment vertical="center"/>
      <protection/>
    </xf>
    <xf numFmtId="49" fontId="33" fillId="2" borderId="0" xfId="24" applyNumberFormat="1" applyFont="1" applyFill="1" applyAlignment="1">
      <alignment horizontal="center" vertical="center"/>
      <protection/>
    </xf>
    <xf numFmtId="49" fontId="33" fillId="2" borderId="0" xfId="24" applyNumberFormat="1" applyFont="1" applyFill="1" applyAlignment="1">
      <alignment horizontal="right" vertical="center"/>
      <protection/>
    </xf>
    <xf numFmtId="0" fontId="35" fillId="0" borderId="0" xfId="24" applyFont="1" applyAlignment="1">
      <alignment vertical="center"/>
      <protection/>
    </xf>
    <xf numFmtId="0" fontId="29" fillId="0" borderId="0" xfId="24" applyFont="1" applyAlignment="1">
      <alignment horizontal="center" vertical="center"/>
      <protection/>
    </xf>
    <xf numFmtId="0" fontId="6" fillId="0" borderId="14" xfId="24" applyFont="1" applyBorder="1" applyAlignment="1">
      <alignment vertical="center"/>
      <protection/>
    </xf>
    <xf numFmtId="0" fontId="3" fillId="0" borderId="15" xfId="24" applyFont="1" applyFill="1" applyBorder="1" applyAlignment="1">
      <alignment vertical="center"/>
      <protection/>
    </xf>
    <xf numFmtId="0" fontId="3" fillId="0" borderId="16" xfId="24" applyFont="1" applyFill="1" applyBorder="1" applyAlignment="1">
      <alignment horizontal="center" vertical="center"/>
      <protection/>
    </xf>
    <xf numFmtId="0" fontId="3" fillId="0" borderId="0" xfId="24" applyFont="1" applyFill="1" applyBorder="1" applyAlignment="1">
      <alignment horizontal="center" vertical="center"/>
      <protection/>
    </xf>
    <xf numFmtId="0" fontId="35" fillId="0" borderId="0" xfId="24" applyFont="1" applyFill="1" applyBorder="1" applyAlignment="1">
      <alignment horizontal="center" vertical="center"/>
      <protection/>
    </xf>
    <xf numFmtId="0" fontId="29" fillId="0" borderId="0" xfId="24" applyFont="1" applyFill="1" applyBorder="1" applyAlignment="1">
      <alignment vertical="center"/>
      <protection/>
    </xf>
    <xf numFmtId="0" fontId="35" fillId="0" borderId="0" xfId="24" applyFont="1" applyFill="1" applyBorder="1" applyAlignment="1">
      <alignment vertical="center"/>
      <protection/>
    </xf>
    <xf numFmtId="14" fontId="10" fillId="0" borderId="1" xfId="24" applyNumberFormat="1" applyFont="1" applyBorder="1" applyAlignment="1">
      <alignment horizontal="left" vertical="center"/>
      <protection/>
    </xf>
    <xf numFmtId="49" fontId="3" fillId="0" borderId="1" xfId="24" applyNumberFormat="1" applyFont="1" applyBorder="1" applyAlignment="1">
      <alignment vertical="center"/>
      <protection/>
    </xf>
    <xf numFmtId="49" fontId="3" fillId="0" borderId="1" xfId="24" applyNumberFormat="1" applyFont="1" applyBorder="1" applyAlignment="1">
      <alignment horizontal="left" vertical="center"/>
      <protection/>
    </xf>
    <xf numFmtId="49" fontId="7" fillId="0" borderId="1" xfId="24" applyNumberFormat="1" applyFont="1" applyBorder="1" applyAlignment="1">
      <alignment vertical="center"/>
      <protection/>
    </xf>
    <xf numFmtId="49" fontId="3" fillId="0" borderId="1" xfId="25" applyNumberFormat="1" applyFont="1" applyBorder="1" applyAlignment="1" applyProtection="1">
      <alignment horizontal="center" vertical="center"/>
      <protection locked="0"/>
    </xf>
    <xf numFmtId="0" fontId="10" fillId="0" borderId="1" xfId="24" applyFont="1" applyBorder="1" applyAlignment="1">
      <alignment horizontal="left" vertical="center"/>
      <protection/>
    </xf>
    <xf numFmtId="1" fontId="3" fillId="0" borderId="1" xfId="24" applyNumberFormat="1" applyFont="1" applyBorder="1" applyAlignment="1">
      <alignment horizontal="center" vertical="center"/>
      <protection/>
    </xf>
    <xf numFmtId="49" fontId="3" fillId="0" borderId="1" xfId="24" applyNumberFormat="1" applyFont="1" applyBorder="1" applyAlignment="1">
      <alignment horizontal="right" vertical="center"/>
      <protection/>
    </xf>
    <xf numFmtId="0" fontId="6" fillId="0" borderId="0" xfId="24" applyFont="1" applyAlignment="1">
      <alignment vertical="center"/>
      <protection/>
    </xf>
    <xf numFmtId="0" fontId="36" fillId="0" borderId="0" xfId="24" applyFont="1" applyAlignment="1">
      <alignment horizontal="center" vertical="center"/>
      <protection/>
    </xf>
    <xf numFmtId="0" fontId="6" fillId="0" borderId="0" xfId="24" applyFont="1" applyFill="1" applyBorder="1" applyAlignment="1">
      <alignment vertical="center"/>
      <protection/>
    </xf>
    <xf numFmtId="0" fontId="6" fillId="0" borderId="0" xfId="24" applyFont="1" applyFill="1" applyBorder="1" applyAlignment="1">
      <alignment horizontal="center" vertical="center"/>
      <protection/>
    </xf>
    <xf numFmtId="0" fontId="36" fillId="0" borderId="0" xfId="24" applyFont="1" applyFill="1" applyBorder="1" applyAlignment="1">
      <alignment vertical="center"/>
      <protection/>
    </xf>
    <xf numFmtId="49" fontId="37" fillId="0" borderId="0" xfId="24" applyNumberFormat="1" applyFont="1" applyFill="1" applyAlignment="1">
      <alignment horizontal="right" vertical="center"/>
      <protection/>
    </xf>
    <xf numFmtId="49" fontId="37" fillId="0" borderId="0" xfId="24" applyNumberFormat="1" applyFont="1" applyFill="1" applyAlignment="1">
      <alignment horizontal="center" vertical="center"/>
      <protection/>
    </xf>
    <xf numFmtId="49" fontId="37" fillId="0" borderId="0" xfId="24" applyNumberFormat="1" applyFont="1" applyFill="1" applyAlignment="1">
      <alignment horizontal="left" vertical="center"/>
      <protection/>
    </xf>
    <xf numFmtId="49" fontId="18" fillId="0" borderId="0" xfId="24" applyNumberFormat="1" applyFont="1" applyFill="1" applyAlignment="1">
      <alignment horizontal="left" vertical="center"/>
      <protection/>
    </xf>
    <xf numFmtId="49" fontId="18" fillId="0" borderId="0" xfId="24" applyNumberFormat="1" applyFont="1" applyFill="1" applyAlignment="1">
      <alignment horizontal="center" vertical="center"/>
      <protection/>
    </xf>
    <xf numFmtId="49" fontId="18" fillId="0" borderId="0" xfId="24" applyNumberFormat="1" applyFont="1" applyFill="1" applyAlignment="1">
      <alignment vertical="center"/>
      <protection/>
    </xf>
    <xf numFmtId="0" fontId="35" fillId="0" borderId="17" xfId="24" applyFont="1" applyFill="1" applyBorder="1" applyAlignment="1">
      <alignment vertical="center"/>
      <protection/>
    </xf>
    <xf numFmtId="0" fontId="3" fillId="0" borderId="17" xfId="24" applyFont="1" applyFill="1" applyBorder="1" applyAlignment="1">
      <alignment vertical="center"/>
      <protection/>
    </xf>
    <xf numFmtId="0" fontId="3" fillId="0" borderId="17" xfId="24" applyFont="1" applyFill="1" applyBorder="1" applyAlignment="1">
      <alignment horizontal="center" vertical="center"/>
      <protection/>
    </xf>
    <xf numFmtId="0" fontId="6" fillId="0" borderId="17" xfId="24" applyFont="1" applyFill="1" applyBorder="1" applyAlignment="1">
      <alignment horizontal="center" vertical="center"/>
      <protection/>
    </xf>
    <xf numFmtId="49" fontId="35" fillId="0" borderId="0" xfId="24" applyNumberFormat="1" applyFont="1" applyFill="1" applyAlignment="1">
      <alignment horizontal="right" vertical="center"/>
      <protection/>
    </xf>
    <xf numFmtId="49" fontId="35" fillId="0" borderId="0" xfId="24" applyNumberFormat="1" applyFont="1" applyAlignment="1">
      <alignment horizontal="center" vertical="center"/>
      <protection/>
    </xf>
    <xf numFmtId="0" fontId="35" fillId="0" borderId="0" xfId="24" applyFont="1" applyAlignment="1">
      <alignment horizontal="center" vertical="center"/>
      <protection/>
    </xf>
    <xf numFmtId="49" fontId="35" fillId="0" borderId="0" xfId="24" applyNumberFormat="1" applyFont="1" applyAlignment="1">
      <alignment horizontal="left" vertical="center"/>
      <protection/>
    </xf>
    <xf numFmtId="49" fontId="38" fillId="0" borderId="0" xfId="24" applyNumberFormat="1" applyFont="1" applyAlignment="1">
      <alignment horizontal="left" vertical="center"/>
      <protection/>
    </xf>
    <xf numFmtId="49" fontId="1" fillId="0" borderId="0" xfId="24" applyNumberFormat="1" applyFont="1" applyAlignment="1">
      <alignment vertical="center"/>
      <protection/>
    </xf>
    <xf numFmtId="49" fontId="39" fillId="0" borderId="0" xfId="24" applyNumberFormat="1" applyFont="1" applyAlignment="1">
      <alignment horizontal="center" vertical="center"/>
      <protection/>
    </xf>
    <xf numFmtId="49" fontId="39" fillId="0" borderId="0" xfId="24" applyNumberFormat="1" applyFont="1" applyAlignment="1">
      <alignment vertical="center"/>
      <protection/>
    </xf>
    <xf numFmtId="0" fontId="35" fillId="5" borderId="17" xfId="24" applyFont="1" applyFill="1" applyBorder="1" applyAlignment="1">
      <alignment vertical="center"/>
      <protection/>
    </xf>
    <xf numFmtId="0" fontId="3" fillId="5" borderId="17" xfId="24" applyFont="1" applyFill="1" applyBorder="1" applyAlignment="1">
      <alignment vertical="center"/>
      <protection/>
    </xf>
    <xf numFmtId="0" fontId="3" fillId="5" borderId="17" xfId="24" applyFont="1" applyFill="1" applyBorder="1" applyAlignment="1">
      <alignment horizontal="center" vertical="center"/>
      <protection/>
    </xf>
    <xf numFmtId="0" fontId="38" fillId="5" borderId="17" xfId="24" applyFont="1" applyFill="1" applyBorder="1" applyAlignment="1">
      <alignment horizontal="center" vertical="center"/>
      <protection/>
    </xf>
    <xf numFmtId="49" fontId="40" fillId="0" borderId="0" xfId="24" applyNumberFormat="1" applyFont="1" applyFill="1" applyAlignment="1">
      <alignment horizontal="center" vertical="center"/>
      <protection/>
    </xf>
    <xf numFmtId="0" fontId="40" fillId="0" borderId="3" xfId="24" applyFont="1" applyBorder="1" applyAlignment="1">
      <alignment vertical="center"/>
      <protection/>
    </xf>
    <xf numFmtId="0" fontId="41" fillId="6" borderId="3" xfId="24" applyFont="1" applyFill="1" applyBorder="1" applyAlignment="1">
      <alignment horizontal="center" vertical="center"/>
      <protection/>
    </xf>
    <xf numFmtId="0" fontId="42" fillId="0" borderId="3" xfId="24" applyFont="1" applyBorder="1" applyAlignment="1">
      <alignment horizontal="center" vertical="center"/>
      <protection/>
    </xf>
    <xf numFmtId="0" fontId="43" fillId="0" borderId="0" xfId="24" applyFont="1" applyAlignment="1">
      <alignment vertical="center"/>
      <protection/>
    </xf>
    <xf numFmtId="0" fontId="42" fillId="0" borderId="0" xfId="24" applyFont="1" applyAlignment="1">
      <alignment vertical="center"/>
      <protection/>
    </xf>
    <xf numFmtId="0" fontId="44" fillId="7" borderId="0" xfId="24" applyFont="1" applyFill="1" applyAlignment="1">
      <alignment vertical="center"/>
      <protection/>
    </xf>
    <xf numFmtId="0" fontId="42" fillId="7" borderId="0" xfId="24" applyFont="1" applyFill="1" applyAlignment="1">
      <alignment vertical="center"/>
      <protection/>
    </xf>
    <xf numFmtId="49" fontId="44" fillId="7" borderId="0" xfId="24" applyNumberFormat="1" applyFont="1" applyFill="1" applyAlignment="1">
      <alignment vertical="center"/>
      <protection/>
    </xf>
    <xf numFmtId="49" fontId="42" fillId="7" borderId="0" xfId="24" applyNumberFormat="1" applyFont="1" applyFill="1" applyAlignment="1">
      <alignment vertical="center"/>
      <protection/>
    </xf>
    <xf numFmtId="0" fontId="1" fillId="7" borderId="0" xfId="24" applyFont="1" applyFill="1" applyAlignment="1">
      <alignment vertical="center"/>
      <protection/>
    </xf>
    <xf numFmtId="0" fontId="1" fillId="0" borderId="0" xfId="24" applyFont="1" applyAlignment="1">
      <alignment vertical="center"/>
      <protection/>
    </xf>
    <xf numFmtId="0" fontId="1" fillId="0" borderId="11" xfId="24" applyFont="1" applyBorder="1" applyAlignment="1">
      <alignment vertical="center"/>
      <protection/>
    </xf>
    <xf numFmtId="0" fontId="3" fillId="0" borderId="17" xfId="24" applyFont="1" applyFill="1" applyBorder="1" applyAlignment="1" applyProtection="1">
      <alignment horizontal="center" vertical="center"/>
      <protection hidden="1"/>
    </xf>
    <xf numFmtId="1" fontId="6" fillId="0" borderId="17" xfId="24" applyNumberFormat="1" applyFont="1" applyFill="1" applyBorder="1" applyAlignment="1">
      <alignment horizontal="center" vertical="center"/>
      <protection/>
    </xf>
    <xf numFmtId="0" fontId="1" fillId="0" borderId="0" xfId="24" applyFont="1" applyFill="1" applyBorder="1" applyAlignment="1">
      <alignment vertical="center"/>
      <protection/>
    </xf>
    <xf numFmtId="49" fontId="44" fillId="0" borderId="0" xfId="24" applyNumberFormat="1" applyFont="1" applyFill="1" applyAlignment="1">
      <alignment horizontal="center" vertical="center"/>
      <protection/>
    </xf>
    <xf numFmtId="0" fontId="44" fillId="0" borderId="0" xfId="24" applyFont="1" applyAlignment="1">
      <alignment horizontal="center" vertical="center"/>
      <protection/>
    </xf>
    <xf numFmtId="0" fontId="43" fillId="0" borderId="0" xfId="24" applyFont="1" applyAlignment="1">
      <alignment vertical="center"/>
      <protection/>
    </xf>
    <xf numFmtId="0" fontId="45" fillId="0" borderId="0" xfId="24" applyFont="1" applyAlignment="1">
      <alignment vertical="center"/>
      <protection/>
    </xf>
    <xf numFmtId="0" fontId="18" fillId="0" borderId="0" xfId="24" applyFont="1" applyAlignment="1">
      <alignment horizontal="right" vertical="center"/>
      <protection/>
    </xf>
    <xf numFmtId="0" fontId="46" fillId="8" borderId="9" xfId="24" applyFont="1" applyFill="1" applyBorder="1" applyAlignment="1">
      <alignment horizontal="right" vertical="center"/>
      <protection/>
    </xf>
    <xf numFmtId="0" fontId="47" fillId="0" borderId="3" xfId="24" applyFont="1" applyBorder="1" applyAlignment="1">
      <alignment vertical="center"/>
      <protection/>
    </xf>
    <xf numFmtId="0" fontId="42" fillId="0" borderId="3" xfId="24" applyFont="1" applyBorder="1" applyAlignment="1">
      <alignment vertical="center"/>
      <protection/>
    </xf>
    <xf numFmtId="0" fontId="1" fillId="0" borderId="18" xfId="24" applyFont="1" applyBorder="1" applyAlignment="1">
      <alignment vertical="center"/>
      <protection/>
    </xf>
    <xf numFmtId="0" fontId="3" fillId="2" borderId="17" xfId="24" applyNumberFormat="1" applyFont="1" applyFill="1" applyBorder="1" applyAlignment="1">
      <alignment vertical="center"/>
      <protection/>
    </xf>
    <xf numFmtId="0" fontId="3" fillId="2" borderId="17" xfId="24" applyFont="1" applyFill="1" applyBorder="1" applyAlignment="1">
      <alignment horizontal="center" vertical="center"/>
      <protection/>
    </xf>
    <xf numFmtId="1" fontId="6" fillId="2" borderId="17" xfId="24" applyNumberFormat="1" applyFont="1" applyFill="1" applyBorder="1" applyAlignment="1">
      <alignment horizontal="center" vertical="center"/>
      <protection/>
    </xf>
    <xf numFmtId="0" fontId="44" fillId="0" borderId="3" xfId="24" applyFont="1" applyBorder="1" applyAlignment="1">
      <alignment vertical="center"/>
      <protection/>
    </xf>
    <xf numFmtId="0" fontId="44" fillId="0" borderId="3" xfId="24" applyFont="1" applyBorder="1" applyAlignment="1">
      <alignment vertical="center"/>
      <protection/>
    </xf>
    <xf numFmtId="0" fontId="42" fillId="0" borderId="13" xfId="24" applyFont="1" applyBorder="1" applyAlignment="1">
      <alignment horizontal="center" vertical="center"/>
      <protection/>
    </xf>
    <xf numFmtId="0" fontId="43" fillId="0" borderId="0" xfId="24" applyFont="1" applyAlignment="1">
      <alignment horizontal="left" vertical="center"/>
      <protection/>
    </xf>
    <xf numFmtId="0" fontId="42" fillId="0" borderId="5" xfId="24" applyFont="1" applyBorder="1" applyAlignment="1">
      <alignment horizontal="left" vertical="center"/>
      <protection/>
    </xf>
    <xf numFmtId="0" fontId="41" fillId="0" borderId="0" xfId="24" applyFont="1" applyAlignment="1">
      <alignment horizontal="center" vertical="center"/>
      <protection/>
    </xf>
    <xf numFmtId="0" fontId="42" fillId="0" borderId="0" xfId="24" applyFont="1" applyAlignment="1">
      <alignment horizontal="center" vertical="center"/>
      <protection/>
    </xf>
    <xf numFmtId="0" fontId="46" fillId="8" borderId="5" xfId="24" applyFont="1" applyFill="1" applyBorder="1" applyAlignment="1">
      <alignment horizontal="right" vertical="center"/>
      <protection/>
    </xf>
    <xf numFmtId="0" fontId="43" fillId="0" borderId="3" xfId="24" applyFont="1" applyBorder="1" applyAlignment="1">
      <alignment vertical="center"/>
      <protection/>
    </xf>
    <xf numFmtId="49" fontId="42" fillId="0" borderId="3" xfId="24" applyNumberFormat="1" applyFont="1" applyBorder="1" applyAlignment="1">
      <alignment vertical="center"/>
      <protection/>
    </xf>
    <xf numFmtId="49" fontId="43" fillId="0" borderId="0" xfId="24" applyNumberFormat="1" applyFont="1" applyAlignment="1">
      <alignment vertical="center"/>
      <protection/>
    </xf>
    <xf numFmtId="49" fontId="42" fillId="0" borderId="0" xfId="24" applyNumberFormat="1" applyFont="1" applyAlignment="1">
      <alignment vertical="center"/>
      <protection/>
    </xf>
    <xf numFmtId="0" fontId="3" fillId="2" borderId="17" xfId="24" applyFont="1" applyFill="1" applyBorder="1" applyAlignment="1">
      <alignment vertical="center"/>
      <protection/>
    </xf>
    <xf numFmtId="0" fontId="42" fillId="0" borderId="5" xfId="24" applyFont="1" applyBorder="1" applyAlignment="1">
      <alignment vertical="center"/>
      <protection/>
    </xf>
    <xf numFmtId="49" fontId="42" fillId="0" borderId="5" xfId="24" applyNumberFormat="1" applyFont="1" applyBorder="1" applyAlignment="1">
      <alignment vertical="center"/>
      <protection/>
    </xf>
    <xf numFmtId="0" fontId="42" fillId="0" borderId="13" xfId="24" applyFont="1" applyBorder="1" applyAlignment="1">
      <alignment vertical="center"/>
      <protection/>
    </xf>
    <xf numFmtId="0" fontId="45" fillId="0" borderId="0" xfId="24" applyFont="1" applyAlignment="1">
      <alignment vertical="center"/>
      <protection/>
    </xf>
    <xf numFmtId="0" fontId="47" fillId="0" borderId="0" xfId="24" applyFont="1" applyAlignment="1">
      <alignment vertical="center"/>
      <protection/>
    </xf>
    <xf numFmtId="0" fontId="42" fillId="7" borderId="5" xfId="24" applyFont="1" applyFill="1" applyBorder="1" applyAlignment="1">
      <alignment vertical="center"/>
      <protection/>
    </xf>
    <xf numFmtId="0" fontId="1" fillId="0" borderId="12" xfId="24" applyFont="1" applyBorder="1" applyAlignment="1">
      <alignment vertical="center"/>
      <protection/>
    </xf>
    <xf numFmtId="49" fontId="42" fillId="0" borderId="13" xfId="24" applyNumberFormat="1" applyFont="1" applyBorder="1" applyAlignment="1">
      <alignment vertical="center"/>
      <protection/>
    </xf>
    <xf numFmtId="1" fontId="42" fillId="0" borderId="13" xfId="24" applyNumberFormat="1" applyFont="1" applyBorder="1" applyAlignment="1">
      <alignment vertical="center"/>
      <protection/>
    </xf>
    <xf numFmtId="0" fontId="48" fillId="0" borderId="0" xfId="24" applyFont="1" applyAlignment="1">
      <alignment vertical="center"/>
      <protection/>
    </xf>
    <xf numFmtId="1" fontId="42" fillId="7" borderId="3" xfId="24" applyNumberFormat="1" applyFont="1" applyFill="1" applyBorder="1" applyAlignment="1">
      <alignment vertical="center"/>
      <protection/>
    </xf>
    <xf numFmtId="49" fontId="40" fillId="0" borderId="0" xfId="24" applyNumberFormat="1" applyFont="1" applyFill="1" applyAlignment="1">
      <alignment horizontal="center" vertical="center"/>
      <protection/>
    </xf>
    <xf numFmtId="0" fontId="42" fillId="7" borderId="13" xfId="24" applyFont="1" applyFill="1" applyBorder="1" applyAlignment="1">
      <alignment vertical="center"/>
      <protection/>
    </xf>
    <xf numFmtId="0" fontId="44" fillId="7" borderId="0" xfId="24" applyFont="1" applyFill="1" applyAlignment="1">
      <alignment horizontal="right" vertical="center"/>
      <protection/>
    </xf>
    <xf numFmtId="0" fontId="49" fillId="0" borderId="0" xfId="24" applyFont="1" applyAlignment="1">
      <alignment vertical="center"/>
      <protection/>
    </xf>
    <xf numFmtId="0" fontId="42" fillId="0" borderId="13" xfId="24" applyFont="1" applyBorder="1" applyAlignment="1">
      <alignment horizontal="right" vertical="center"/>
      <protection/>
    </xf>
    <xf numFmtId="0" fontId="46" fillId="8" borderId="0" xfId="24" applyFont="1" applyFill="1" applyAlignment="1">
      <alignment horizontal="right" vertical="center"/>
      <protection/>
    </xf>
    <xf numFmtId="0" fontId="7" fillId="7" borderId="0" xfId="24" applyFont="1" applyFill="1" applyBorder="1" applyAlignment="1">
      <alignment horizontal="center" vertical="center"/>
      <protection/>
    </xf>
    <xf numFmtId="0" fontId="29" fillId="7" borderId="0" xfId="24" applyFont="1" applyFill="1" applyBorder="1" applyAlignment="1">
      <alignment horizontal="center" vertical="center"/>
      <protection/>
    </xf>
    <xf numFmtId="0" fontId="29" fillId="7" borderId="0" xfId="24" applyFont="1" applyFill="1" applyBorder="1" applyAlignment="1">
      <alignment vertical="center"/>
      <protection/>
    </xf>
    <xf numFmtId="0" fontId="15" fillId="7" borderId="0" xfId="24" applyFont="1" applyFill="1" applyBorder="1" applyAlignment="1">
      <alignment vertical="center"/>
      <protection/>
    </xf>
    <xf numFmtId="0" fontId="7" fillId="7" borderId="0" xfId="24" applyFont="1" applyFill="1" applyBorder="1" applyAlignment="1">
      <alignment vertical="center"/>
      <protection/>
    </xf>
    <xf numFmtId="2" fontId="7" fillId="7" borderId="0" xfId="24" applyNumberFormat="1" applyFont="1" applyFill="1" applyBorder="1" applyAlignment="1">
      <alignment vertical="center"/>
      <protection/>
    </xf>
    <xf numFmtId="0" fontId="39" fillId="7" borderId="0" xfId="24" applyFont="1" applyFill="1" applyBorder="1" applyAlignment="1">
      <alignment vertical="center"/>
      <protection/>
    </xf>
    <xf numFmtId="0" fontId="15" fillId="7" borderId="0" xfId="24" applyFont="1" applyFill="1" applyBorder="1" applyAlignment="1">
      <alignment horizontal="center" vertical="center"/>
      <protection/>
    </xf>
    <xf numFmtId="0" fontId="50" fillId="0" borderId="0" xfId="24" applyFont="1" applyBorder="1" applyAlignment="1">
      <alignment vertical="center"/>
      <protection/>
    </xf>
    <xf numFmtId="0" fontId="1" fillId="0" borderId="0" xfId="24" applyFont="1" applyBorder="1" applyAlignment="1">
      <alignment vertical="center"/>
      <protection/>
    </xf>
    <xf numFmtId="0" fontId="29" fillId="0" borderId="0" xfId="24" applyFont="1" applyBorder="1" applyAlignment="1">
      <alignment horizontal="center" vertical="center"/>
      <protection/>
    </xf>
    <xf numFmtId="165" fontId="15" fillId="7" borderId="0" xfId="24" applyNumberFormat="1" applyFont="1" applyFill="1" applyBorder="1" applyAlignment="1">
      <alignment horizontal="center" vertical="center"/>
      <protection/>
    </xf>
    <xf numFmtId="0" fontId="36" fillId="7" borderId="0" xfId="24" applyFont="1" applyFill="1" applyBorder="1" applyAlignment="1">
      <alignment vertical="center"/>
      <protection/>
    </xf>
    <xf numFmtId="49" fontId="7" fillId="7" borderId="0" xfId="24" applyNumberFormat="1" applyFont="1" applyFill="1" applyBorder="1" applyAlignment="1">
      <alignment vertical="center"/>
      <protection/>
    </xf>
    <xf numFmtId="1" fontId="7" fillId="7" borderId="0" xfId="24" applyNumberFormat="1" applyFont="1" applyFill="1" applyBorder="1" applyAlignment="1">
      <alignment horizontal="center" vertical="center"/>
      <protection/>
    </xf>
    <xf numFmtId="0" fontId="7" fillId="7" borderId="0" xfId="24" applyNumberFormat="1" applyFont="1" applyFill="1" applyBorder="1" applyAlignment="1">
      <alignment horizontal="center" vertical="center"/>
      <protection/>
    </xf>
    <xf numFmtId="0" fontId="42" fillId="7" borderId="3" xfId="24" applyFont="1" applyFill="1" applyBorder="1" applyAlignment="1">
      <alignment vertical="center"/>
      <protection/>
    </xf>
    <xf numFmtId="0" fontId="3" fillId="0" borderId="0" xfId="24" applyFont="1" applyFill="1" applyBorder="1" applyAlignment="1">
      <alignment vertical="center"/>
      <protection/>
    </xf>
    <xf numFmtId="0" fontId="3" fillId="0" borderId="0" xfId="24" applyFont="1" applyBorder="1" applyAlignment="1">
      <alignment vertical="center"/>
      <protection/>
    </xf>
    <xf numFmtId="0" fontId="3" fillId="0" borderId="0" xfId="24" applyFont="1" applyAlignment="1">
      <alignment vertical="center"/>
      <protection/>
    </xf>
    <xf numFmtId="1" fontId="29" fillId="0" borderId="0" xfId="24" applyNumberFormat="1" applyFont="1" applyFill="1" applyBorder="1" applyAlignment="1">
      <alignment horizontal="center" vertical="center"/>
      <protection/>
    </xf>
    <xf numFmtId="49" fontId="1" fillId="7" borderId="0" xfId="24" applyNumberFormat="1" applyFont="1" applyFill="1" applyAlignment="1">
      <alignment vertical="center"/>
      <protection/>
    </xf>
    <xf numFmtId="0" fontId="42" fillId="7" borderId="0" xfId="24" applyFont="1" applyFill="1" applyBorder="1" applyAlignment="1">
      <alignment vertical="center"/>
      <protection/>
    </xf>
    <xf numFmtId="0" fontId="29" fillId="7" borderId="0" xfId="24" applyFont="1" applyFill="1" applyAlignment="1">
      <alignment vertical="center"/>
      <protection/>
    </xf>
    <xf numFmtId="49" fontId="40" fillId="0" borderId="0" xfId="24" applyNumberFormat="1" applyFont="1" applyFill="1" applyBorder="1" applyAlignment="1">
      <alignment horizontal="center" vertical="center"/>
      <protection/>
    </xf>
    <xf numFmtId="1" fontId="40" fillId="0" borderId="0" xfId="24" applyNumberFormat="1" applyFont="1" applyFill="1" applyBorder="1" applyAlignment="1">
      <alignment horizontal="center" vertical="center"/>
      <protection/>
    </xf>
    <xf numFmtId="0" fontId="3" fillId="0" borderId="17" xfId="24" applyFont="1" applyFill="1" applyBorder="1" applyAlignment="1">
      <alignment horizontal="right" vertical="center"/>
      <protection/>
    </xf>
    <xf numFmtId="1" fontId="3" fillId="0" borderId="17" xfId="24" applyNumberFormat="1" applyFont="1" applyFill="1" applyBorder="1" applyAlignment="1">
      <alignment vertical="center"/>
      <protection/>
    </xf>
    <xf numFmtId="0" fontId="3" fillId="0" borderId="17" xfId="24" applyFont="1" applyBorder="1" applyAlignment="1">
      <alignment horizontal="right" vertical="center"/>
      <protection/>
    </xf>
    <xf numFmtId="1" fontId="3" fillId="0" borderId="17" xfId="24" applyNumberFormat="1" applyFont="1" applyBorder="1" applyAlignment="1">
      <alignment vertical="center"/>
      <protection/>
    </xf>
    <xf numFmtId="49" fontId="51" fillId="7" borderId="0" xfId="24" applyNumberFormat="1" applyFont="1" applyFill="1" applyAlignment="1">
      <alignment horizontal="center" vertical="center"/>
      <protection/>
    </xf>
    <xf numFmtId="49" fontId="52" fillId="0" borderId="0" xfId="24" applyNumberFormat="1" applyFont="1" applyAlignment="1">
      <alignment vertical="center"/>
      <protection/>
    </xf>
    <xf numFmtId="49" fontId="53" fillId="0" borderId="0" xfId="24" applyNumberFormat="1" applyFont="1" applyAlignment="1">
      <alignment horizontal="center" vertical="center"/>
      <protection/>
    </xf>
    <xf numFmtId="49" fontId="52" fillId="7" borderId="0" xfId="24" applyNumberFormat="1" applyFont="1" applyFill="1" applyAlignment="1">
      <alignment vertical="center"/>
      <protection/>
    </xf>
    <xf numFmtId="49" fontId="53" fillId="7" borderId="0" xfId="24" applyNumberFormat="1" applyFont="1" applyFill="1" applyAlignment="1">
      <alignment vertical="center"/>
      <protection/>
    </xf>
    <xf numFmtId="0" fontId="1" fillId="7" borderId="0" xfId="24" applyFill="1" applyAlignment="1">
      <alignment vertical="center"/>
      <protection/>
    </xf>
    <xf numFmtId="0" fontId="1" fillId="0" borderId="0" xfId="24" applyAlignment="1">
      <alignment vertical="center"/>
      <protection/>
    </xf>
    <xf numFmtId="0" fontId="33" fillId="0" borderId="14" xfId="24" applyFont="1" applyFill="1" applyBorder="1" applyAlignment="1">
      <alignment vertical="center"/>
      <protection/>
    </xf>
    <xf numFmtId="0" fontId="33" fillId="0" borderId="15" xfId="24" applyFont="1" applyFill="1" applyBorder="1" applyAlignment="1">
      <alignment vertical="center"/>
      <protection/>
    </xf>
    <xf numFmtId="0" fontId="33" fillId="0" borderId="19" xfId="24" applyFont="1" applyFill="1" applyBorder="1" applyAlignment="1">
      <alignment vertical="center"/>
      <protection/>
    </xf>
    <xf numFmtId="49" fontId="54" fillId="0" borderId="15" xfId="24" applyNumberFormat="1" applyFont="1" applyFill="1" applyBorder="1" applyAlignment="1">
      <alignment horizontal="center" vertical="center"/>
      <protection/>
    </xf>
    <xf numFmtId="49" fontId="54" fillId="0" borderId="15" xfId="24" applyNumberFormat="1" applyFont="1" applyFill="1" applyBorder="1" applyAlignment="1">
      <alignment vertical="center"/>
      <protection/>
    </xf>
    <xf numFmtId="49" fontId="54" fillId="0" borderId="16" xfId="24" applyNumberFormat="1" applyFont="1" applyFill="1" applyBorder="1" applyAlignment="1">
      <alignment horizontal="center" vertical="center"/>
      <protection/>
    </xf>
    <xf numFmtId="49" fontId="33" fillId="0" borderId="15" xfId="24" applyNumberFormat="1" applyFont="1" applyFill="1" applyBorder="1" applyAlignment="1">
      <alignment horizontal="center" vertical="center"/>
      <protection/>
    </xf>
    <xf numFmtId="49" fontId="34" fillId="0" borderId="15" xfId="24" applyNumberFormat="1" applyFont="1" applyFill="1" applyBorder="1" applyAlignment="1">
      <alignment vertical="center"/>
      <protection/>
    </xf>
    <xf numFmtId="49" fontId="54" fillId="0" borderId="15" xfId="24" applyNumberFormat="1" applyFont="1" applyFill="1" applyBorder="1" applyAlignment="1">
      <alignment horizontal="right" vertical="center"/>
      <protection/>
    </xf>
    <xf numFmtId="49" fontId="34" fillId="0" borderId="16" xfId="24" applyNumberFormat="1" applyFont="1" applyFill="1" applyBorder="1" applyAlignment="1">
      <alignment vertical="center"/>
      <protection/>
    </xf>
    <xf numFmtId="49" fontId="33" fillId="0" borderId="15" xfId="24" applyNumberFormat="1" applyFont="1" applyFill="1" applyBorder="1" applyAlignment="1">
      <alignment horizontal="left" vertical="center"/>
      <protection/>
    </xf>
    <xf numFmtId="49" fontId="34" fillId="0" borderId="15" xfId="24" applyNumberFormat="1" applyFont="1" applyFill="1" applyBorder="1" applyAlignment="1">
      <alignment horizontal="left" vertical="center"/>
      <protection/>
    </xf>
    <xf numFmtId="0" fontId="37" fillId="0" borderId="0" xfId="24" applyFont="1" applyAlignment="1">
      <alignment vertical="center"/>
      <protection/>
    </xf>
    <xf numFmtId="49" fontId="37" fillId="0" borderId="8" xfId="24" applyNumberFormat="1" applyFont="1" applyFill="1" applyBorder="1" applyAlignment="1">
      <alignment vertical="center"/>
      <protection/>
    </xf>
    <xf numFmtId="49" fontId="37" fillId="0" borderId="0" xfId="24" applyNumberFormat="1" applyFont="1" applyFill="1" applyAlignment="1">
      <alignment vertical="center"/>
      <protection/>
    </xf>
    <xf numFmtId="49" fontId="37" fillId="0" borderId="5" xfId="24" applyNumberFormat="1" applyFont="1" applyFill="1" applyBorder="1" applyAlignment="1">
      <alignment horizontal="right" vertical="center"/>
      <protection/>
    </xf>
    <xf numFmtId="0" fontId="44" fillId="0" borderId="0" xfId="24" applyFont="1" applyFill="1" applyBorder="1" applyAlignment="1">
      <alignment horizontal="left" vertical="center"/>
      <protection/>
    </xf>
    <xf numFmtId="0" fontId="44" fillId="0" borderId="0" xfId="24" applyFont="1" applyFill="1" applyBorder="1" applyAlignment="1">
      <alignment horizontal="center" vertical="center"/>
      <protection/>
    </xf>
    <xf numFmtId="49" fontId="37" fillId="0" borderId="4" xfId="24" applyNumberFormat="1" applyFont="1" applyFill="1" applyBorder="1" applyAlignment="1">
      <alignment horizontal="center" vertical="center"/>
      <protection/>
    </xf>
    <xf numFmtId="49" fontId="18" fillId="0" borderId="5" xfId="24" applyNumberFormat="1" applyFont="1" applyFill="1" applyBorder="1" applyAlignment="1">
      <alignment vertical="center"/>
      <protection/>
    </xf>
    <xf numFmtId="49" fontId="33" fillId="0" borderId="4" xfId="24" applyNumberFormat="1" applyFont="1" applyFill="1" applyBorder="1" applyAlignment="1">
      <alignment vertical="center"/>
      <protection/>
    </xf>
    <xf numFmtId="49" fontId="34" fillId="0" borderId="20" xfId="24" applyNumberFormat="1" applyFont="1" applyFill="1" applyBorder="1" applyAlignment="1">
      <alignment vertical="center"/>
      <protection/>
    </xf>
    <xf numFmtId="49" fontId="33" fillId="0" borderId="20" xfId="24" applyNumberFormat="1" applyFont="1" applyFill="1" applyBorder="1" applyAlignment="1">
      <alignment vertical="center"/>
      <protection/>
    </xf>
    <xf numFmtId="49" fontId="37" fillId="0" borderId="13" xfId="24" applyNumberFormat="1" applyFont="1" applyFill="1" applyBorder="1" applyAlignment="1">
      <alignment horizontal="right" vertical="center"/>
      <protection/>
    </xf>
    <xf numFmtId="49" fontId="37" fillId="0" borderId="8" xfId="24" applyNumberFormat="1" applyFont="1" applyFill="1" applyBorder="1" applyAlignment="1">
      <alignment horizontal="center" vertical="center"/>
      <protection/>
    </xf>
    <xf numFmtId="49" fontId="37" fillId="0" borderId="0" xfId="24" applyNumberFormat="1" applyFont="1" applyFill="1" applyBorder="1" applyAlignment="1">
      <alignment vertical="center"/>
      <protection/>
    </xf>
    <xf numFmtId="0" fontId="37" fillId="0" borderId="3" xfId="24" applyFont="1" applyFill="1" applyBorder="1" applyAlignment="1">
      <alignment vertical="center"/>
      <protection/>
    </xf>
    <xf numFmtId="49" fontId="18" fillId="0" borderId="3" xfId="24" applyNumberFormat="1" applyFont="1" applyFill="1" applyBorder="1" applyAlignment="1">
      <alignment vertical="center"/>
      <protection/>
    </xf>
    <xf numFmtId="49" fontId="37" fillId="0" borderId="3" xfId="24" applyNumberFormat="1" applyFont="1" applyFill="1" applyBorder="1" applyAlignment="1">
      <alignment vertical="center"/>
      <protection/>
    </xf>
    <xf numFmtId="49" fontId="18" fillId="0" borderId="13" xfId="24" applyNumberFormat="1" applyFont="1" applyFill="1" applyBorder="1" applyAlignment="1">
      <alignment vertical="center"/>
      <protection/>
    </xf>
    <xf numFmtId="49" fontId="37" fillId="0" borderId="4" xfId="24" applyNumberFormat="1" applyFont="1" applyFill="1" applyBorder="1" applyAlignment="1">
      <alignment vertical="center"/>
      <protection/>
    </xf>
    <xf numFmtId="49" fontId="37" fillId="0" borderId="20" xfId="24" applyNumberFormat="1" applyFont="1" applyFill="1" applyBorder="1" applyAlignment="1">
      <alignment vertical="center"/>
      <protection/>
    </xf>
    <xf numFmtId="49" fontId="37" fillId="0" borderId="9" xfId="24" applyNumberFormat="1" applyFont="1" applyFill="1" applyBorder="1" applyAlignment="1">
      <alignment horizontal="right" vertical="center"/>
      <protection/>
    </xf>
    <xf numFmtId="0" fontId="37" fillId="0" borderId="8" xfId="24" applyFont="1" applyFill="1" applyBorder="1" applyAlignment="1">
      <alignment vertical="center"/>
      <protection/>
    </xf>
    <xf numFmtId="0" fontId="33" fillId="0" borderId="8" xfId="24" applyFont="1" applyFill="1" applyBorder="1" applyAlignment="1">
      <alignment vertical="center"/>
      <protection/>
    </xf>
    <xf numFmtId="0" fontId="33" fillId="0" borderId="0" xfId="24" applyFont="1" applyFill="1" applyBorder="1" applyAlignment="1">
      <alignment vertical="center"/>
      <protection/>
    </xf>
    <xf numFmtId="0" fontId="33" fillId="0" borderId="21" xfId="24" applyFont="1" applyFill="1" applyBorder="1" applyAlignment="1">
      <alignment vertical="center"/>
      <protection/>
    </xf>
    <xf numFmtId="0" fontId="18" fillId="7" borderId="0" xfId="24" applyFont="1" applyFill="1" applyBorder="1" applyAlignment="1">
      <alignment vertical="center"/>
      <protection/>
    </xf>
    <xf numFmtId="0" fontId="37" fillId="0" borderId="5" xfId="24" applyFont="1" applyFill="1" applyBorder="1" applyAlignment="1">
      <alignment horizontal="right" vertical="center"/>
      <protection/>
    </xf>
    <xf numFmtId="49" fontId="37" fillId="0" borderId="6" xfId="24" applyNumberFormat="1" applyFont="1" applyFill="1" applyBorder="1" applyAlignment="1">
      <alignment vertical="center"/>
      <protection/>
    </xf>
    <xf numFmtId="0" fontId="37" fillId="0" borderId="13" xfId="24" applyFont="1" applyFill="1" applyBorder="1" applyAlignment="1">
      <alignment horizontal="right" vertical="center"/>
      <protection/>
    </xf>
    <xf numFmtId="49" fontId="37" fillId="0" borderId="3" xfId="24" applyNumberFormat="1" applyFont="1" applyFill="1" applyBorder="1" applyAlignment="1">
      <alignment horizontal="center" vertical="center"/>
      <protection/>
    </xf>
    <xf numFmtId="0" fontId="44" fillId="0" borderId="3" xfId="24" applyFont="1" applyFill="1" applyBorder="1" applyAlignment="1">
      <alignment horizontal="left" vertical="center"/>
      <protection/>
    </xf>
    <xf numFmtId="0" fontId="44" fillId="0" borderId="3" xfId="24" applyFont="1" applyFill="1" applyBorder="1" applyAlignment="1">
      <alignment horizontal="center" vertical="center"/>
      <protection/>
    </xf>
    <xf numFmtId="49" fontId="37" fillId="0" borderId="6" xfId="24" applyNumberFormat="1" applyFont="1" applyFill="1" applyBorder="1" applyAlignment="1">
      <alignment horizontal="center" vertical="center"/>
      <protection/>
    </xf>
    <xf numFmtId="0" fontId="37" fillId="0" borderId="0" xfId="24" applyFont="1" applyBorder="1" applyAlignment="1">
      <alignment vertical="center"/>
      <protection/>
    </xf>
    <xf numFmtId="0" fontId="29" fillId="0" borderId="0" xfId="24" applyFont="1" applyBorder="1" applyAlignment="1">
      <alignment vertical="center"/>
      <protection/>
    </xf>
    <xf numFmtId="0" fontId="18" fillId="0" borderId="0" xfId="24" applyFont="1">
      <alignment/>
      <protection/>
    </xf>
    <xf numFmtId="0" fontId="29" fillId="0" borderId="0" xfId="24" applyFont="1">
      <alignment/>
      <protection/>
    </xf>
    <xf numFmtId="0" fontId="1" fillId="0" borderId="0" xfId="24" applyFont="1" applyBorder="1">
      <alignment/>
      <protection/>
    </xf>
    <xf numFmtId="0" fontId="29" fillId="0" borderId="0" xfId="24" applyFont="1" applyBorder="1">
      <alignment/>
      <protection/>
    </xf>
    <xf numFmtId="0" fontId="59" fillId="0" borderId="5" xfId="24" applyFont="1" applyBorder="1" applyAlignment="1">
      <alignment horizontal="left" vertical="center"/>
      <protection/>
    </xf>
    <xf numFmtId="0" fontId="61" fillId="0" borderId="0" xfId="26" applyFont="1" applyAlignment="1">
      <alignment/>
      <protection/>
    </xf>
    <xf numFmtId="0" fontId="64" fillId="0" borderId="0" xfId="26" applyFont="1" applyFill="1" applyAlignment="1">
      <alignment/>
      <protection/>
    </xf>
    <xf numFmtId="0" fontId="65" fillId="0" borderId="0" xfId="26" applyFont="1">
      <alignment/>
      <protection/>
    </xf>
    <xf numFmtId="0" fontId="66" fillId="0" borderId="0" xfId="26" applyFont="1">
      <alignment/>
      <protection/>
    </xf>
    <xf numFmtId="0" fontId="60" fillId="0" borderId="0" xfId="26">
      <alignment/>
      <protection/>
    </xf>
    <xf numFmtId="0" fontId="68" fillId="0" borderId="0" xfId="26" applyFont="1" applyBorder="1" applyAlignment="1">
      <alignment horizontal="left"/>
      <protection/>
    </xf>
    <xf numFmtId="0" fontId="69" fillId="0" borderId="0" xfId="26" applyFont="1" applyBorder="1" applyAlignment="1">
      <alignment horizontal="left"/>
      <protection/>
    </xf>
    <xf numFmtId="0" fontId="70" fillId="0" borderId="0" xfId="26" applyFont="1" applyBorder="1" applyAlignment="1">
      <alignment horizontal="center"/>
      <protection/>
    </xf>
    <xf numFmtId="0" fontId="71" fillId="0" borderId="0" xfId="26" applyFont="1">
      <alignment/>
      <protection/>
    </xf>
    <xf numFmtId="0" fontId="72" fillId="0" borderId="0" xfId="26" applyFont="1">
      <alignment/>
      <protection/>
    </xf>
    <xf numFmtId="0" fontId="73" fillId="0" borderId="0" xfId="26" applyFont="1" applyBorder="1" applyAlignment="1">
      <alignment/>
      <protection/>
    </xf>
    <xf numFmtId="0" fontId="74" fillId="0" borderId="0" xfId="26" applyFont="1" applyBorder="1" applyAlignment="1">
      <alignment horizontal="right"/>
      <protection/>
    </xf>
    <xf numFmtId="0" fontId="75" fillId="0" borderId="0" xfId="26" applyFont="1">
      <alignment/>
      <protection/>
    </xf>
    <xf numFmtId="0" fontId="68" fillId="0" borderId="0" xfId="26" applyFont="1" applyBorder="1">
      <alignment/>
      <protection/>
    </xf>
    <xf numFmtId="14" fontId="76" fillId="0" borderId="0" xfId="26" applyNumberFormat="1" applyFont="1" applyBorder="1" applyAlignment="1">
      <alignment horizontal="left"/>
      <protection/>
    </xf>
    <xf numFmtId="0" fontId="74" fillId="0" borderId="0" xfId="26" applyFont="1" applyBorder="1" applyAlignment="1">
      <alignment horizontal="left"/>
      <protection/>
    </xf>
    <xf numFmtId="0" fontId="76" fillId="0" borderId="0" xfId="26" applyFont="1" applyBorder="1" applyAlignment="1">
      <alignment horizontal="left"/>
      <protection/>
    </xf>
    <xf numFmtId="0" fontId="77" fillId="0" borderId="0" xfId="26" applyFont="1" applyBorder="1" applyAlignment="1">
      <alignment horizontal="left"/>
      <protection/>
    </xf>
    <xf numFmtId="0" fontId="78" fillId="0" borderId="0" xfId="26" applyFont="1" applyBorder="1" applyAlignment="1">
      <alignment horizontal="center"/>
      <protection/>
    </xf>
    <xf numFmtId="0" fontId="79" fillId="0" borderId="0" xfId="26" applyFont="1" applyBorder="1" applyAlignment="1">
      <alignment horizontal="center"/>
      <protection/>
    </xf>
    <xf numFmtId="0" fontId="80" fillId="0" borderId="0" xfId="26" applyFont="1">
      <alignment/>
      <protection/>
    </xf>
    <xf numFmtId="0" fontId="75" fillId="0" borderId="0" xfId="26" applyFont="1" applyBorder="1">
      <alignment/>
      <protection/>
    </xf>
    <xf numFmtId="0" fontId="82" fillId="0" borderId="0" xfId="26" applyFont="1">
      <alignment/>
      <protection/>
    </xf>
    <xf numFmtId="0" fontId="68" fillId="0" borderId="0" xfId="26" applyFont="1" applyAlignment="1">
      <alignment horizontal="center"/>
      <protection/>
    </xf>
    <xf numFmtId="0" fontId="68" fillId="0" borderId="0" xfId="26" applyFont="1" applyBorder="1" applyAlignment="1">
      <alignment horizontal="center"/>
      <protection/>
    </xf>
    <xf numFmtId="0" fontId="83" fillId="0" borderId="0" xfId="26" applyFont="1" applyAlignment="1">
      <alignment horizontal="center"/>
      <protection/>
    </xf>
    <xf numFmtId="0" fontId="84" fillId="0" borderId="0" xfId="26" applyFont="1" applyAlignment="1">
      <alignment horizontal="center"/>
      <protection/>
    </xf>
    <xf numFmtId="0" fontId="85" fillId="0" borderId="0" xfId="26" applyFont="1" applyAlignment="1">
      <alignment horizontal="center"/>
      <protection/>
    </xf>
    <xf numFmtId="0" fontId="72" fillId="0" borderId="0" xfId="26" applyFont="1" applyAlignment="1">
      <alignment horizontal="center"/>
      <protection/>
    </xf>
    <xf numFmtId="0" fontId="86" fillId="0" borderId="0" xfId="26" applyFont="1" applyAlignment="1">
      <alignment horizontal="center"/>
      <protection/>
    </xf>
    <xf numFmtId="0" fontId="87" fillId="0" borderId="0" xfId="26" applyFont="1" applyAlignment="1">
      <alignment horizontal="center"/>
      <protection/>
    </xf>
    <xf numFmtId="0" fontId="88" fillId="6" borderId="17" xfId="27" applyFont="1" applyFill="1" applyBorder="1" applyAlignment="1">
      <alignment vertical="center"/>
      <protection/>
    </xf>
    <xf numFmtId="0" fontId="88" fillId="0" borderId="17" xfId="26" applyFont="1" applyBorder="1" applyAlignment="1">
      <alignment horizontal="right" vertical="center"/>
      <protection/>
    </xf>
    <xf numFmtId="166" fontId="89" fillId="0" borderId="17" xfId="24" applyNumberFormat="1" applyFont="1" applyFill="1" applyBorder="1" applyAlignment="1" applyProtection="1">
      <alignment horizontal="center"/>
      <protection/>
    </xf>
    <xf numFmtId="0" fontId="89" fillId="0" borderId="17" xfId="24" applyFont="1" applyFill="1" applyBorder="1" applyAlignment="1" applyProtection="1">
      <alignment/>
      <protection/>
    </xf>
    <xf numFmtId="0" fontId="89" fillId="0" borderId="17" xfId="24" applyFont="1" applyFill="1" applyBorder="1" applyAlignment="1" applyProtection="1">
      <alignment horizontal="center"/>
      <protection/>
    </xf>
    <xf numFmtId="0" fontId="90" fillId="9" borderId="17" xfId="26" applyFont="1" applyFill="1" applyBorder="1" applyAlignment="1">
      <alignment vertical="center"/>
      <protection/>
    </xf>
    <xf numFmtId="49" fontId="79" fillId="0" borderId="17" xfId="26" applyNumberFormat="1" applyFont="1" applyBorder="1" applyAlignment="1">
      <alignment horizontal="center" vertical="center"/>
      <protection/>
    </xf>
    <xf numFmtId="0" fontId="70" fillId="0" borderId="17" xfId="26" applyFont="1" applyBorder="1" applyAlignment="1">
      <alignment horizontal="center" vertical="center"/>
      <protection/>
    </xf>
    <xf numFmtId="0" fontId="91" fillId="0" borderId="0" xfId="26" applyFont="1" applyFill="1" applyAlignment="1">
      <alignment/>
      <protection/>
    </xf>
    <xf numFmtId="0" fontId="72" fillId="0" borderId="17" xfId="26" applyFont="1" applyBorder="1">
      <alignment/>
      <protection/>
    </xf>
    <xf numFmtId="0" fontId="75" fillId="9" borderId="17" xfId="26" applyFont="1" applyFill="1" applyBorder="1" applyAlignment="1">
      <alignment horizontal="center" vertical="center"/>
      <protection/>
    </xf>
    <xf numFmtId="0" fontId="72" fillId="0" borderId="17" xfId="26" applyFont="1" applyBorder="1" applyAlignment="1">
      <alignment horizontal="center"/>
      <protection/>
    </xf>
    <xf numFmtId="0" fontId="72" fillId="0" borderId="17" xfId="26" applyFont="1" applyFill="1" applyBorder="1" applyAlignment="1">
      <alignment horizontal="center"/>
      <protection/>
    </xf>
    <xf numFmtId="0" fontId="85" fillId="0" borderId="17" xfId="26" applyFont="1" applyFill="1" applyBorder="1" applyAlignment="1">
      <alignment horizontal="center"/>
      <protection/>
    </xf>
    <xf numFmtId="0" fontId="88" fillId="0" borderId="17" xfId="26" applyFont="1" applyBorder="1" applyAlignment="1">
      <alignment horizontal="center" vertical="center"/>
      <protection/>
    </xf>
    <xf numFmtId="0" fontId="61" fillId="0" borderId="0" xfId="26" applyFont="1" applyAlignment="1">
      <alignment horizontal="center"/>
      <protection/>
    </xf>
    <xf numFmtId="0" fontId="68" fillId="0" borderId="0" xfId="26" applyFont="1" applyBorder="1" applyAlignment="1">
      <alignment horizontal="left"/>
      <protection/>
    </xf>
    <xf numFmtId="0" fontId="85" fillId="0" borderId="17" xfId="26" applyFont="1" applyBorder="1" applyAlignment="1">
      <alignment horizontal="center"/>
      <protection/>
    </xf>
    <xf numFmtId="0" fontId="61" fillId="0" borderId="0" xfId="26" applyFont="1" applyBorder="1">
      <alignment/>
      <protection/>
    </xf>
    <xf numFmtId="0" fontId="93" fillId="0" borderId="0" xfId="26" applyFont="1" applyBorder="1" applyAlignment="1">
      <alignment horizontal="right"/>
      <protection/>
    </xf>
    <xf numFmtId="0" fontId="94" fillId="0" borderId="22" xfId="26" applyFont="1" applyBorder="1" applyAlignment="1">
      <alignment/>
      <protection/>
    </xf>
    <xf numFmtId="0" fontId="68" fillId="0" borderId="0" xfId="26" applyFont="1" applyBorder="1" applyAlignment="1">
      <alignment horizontal="centerContinuous"/>
      <protection/>
    </xf>
    <xf numFmtId="0" fontId="68" fillId="0" borderId="0" xfId="26" applyFont="1">
      <alignment/>
      <protection/>
    </xf>
    <xf numFmtId="0" fontId="61" fillId="0" borderId="0" xfId="26" applyFont="1">
      <alignment/>
      <protection/>
    </xf>
    <xf numFmtId="0" fontId="93" fillId="0" borderId="0" xfId="26" applyFont="1" applyBorder="1" applyAlignment="1">
      <alignment horizontal="right"/>
      <protection/>
    </xf>
    <xf numFmtId="0" fontId="95" fillId="0" borderId="0" xfId="26" applyFont="1">
      <alignment/>
      <protection/>
    </xf>
    <xf numFmtId="0" fontId="96" fillId="0" borderId="0" xfId="26" applyFont="1">
      <alignment/>
      <protection/>
    </xf>
    <xf numFmtId="0" fontId="97" fillId="0" borderId="0" xfId="26" applyFont="1">
      <alignment/>
      <protection/>
    </xf>
    <xf numFmtId="0" fontId="98" fillId="0" borderId="0" xfId="26" applyFont="1" applyFill="1">
      <alignment/>
      <protection/>
    </xf>
    <xf numFmtId="0" fontId="99" fillId="0" borderId="0" xfId="26" applyFont="1" applyFill="1">
      <alignment/>
      <protection/>
    </xf>
    <xf numFmtId="0" fontId="60" fillId="0" borderId="0" xfId="26" applyFill="1">
      <alignment/>
      <protection/>
    </xf>
    <xf numFmtId="0" fontId="100" fillId="0" borderId="0" xfId="26" applyFont="1" applyFill="1">
      <alignment/>
      <protection/>
    </xf>
    <xf numFmtId="0" fontId="67" fillId="0" borderId="0" xfId="26" applyFont="1">
      <alignment/>
      <protection/>
    </xf>
    <xf numFmtId="0" fontId="101" fillId="0" borderId="0" xfId="26" applyFont="1">
      <alignment/>
      <protection/>
    </xf>
    <xf numFmtId="0" fontId="102" fillId="0" borderId="0" xfId="26" applyFont="1" applyFill="1">
      <alignment/>
      <protection/>
    </xf>
    <xf numFmtId="0" fontId="98" fillId="0" borderId="0" xfId="26" applyFont="1">
      <alignment/>
      <protection/>
    </xf>
    <xf numFmtId="0" fontId="99" fillId="0" borderId="0" xfId="26" applyFont="1">
      <alignment/>
      <protection/>
    </xf>
    <xf numFmtId="0" fontId="103" fillId="0" borderId="0" xfId="26" applyFont="1">
      <alignment/>
      <protection/>
    </xf>
    <xf numFmtId="0" fontId="104" fillId="0" borderId="0" xfId="26" applyFont="1" applyFill="1">
      <alignment/>
      <protection/>
    </xf>
    <xf numFmtId="0" fontId="105" fillId="0" borderId="0" xfId="26" applyFont="1">
      <alignment/>
      <protection/>
    </xf>
    <xf numFmtId="0" fontId="106" fillId="0" borderId="0" xfId="26" applyFont="1">
      <alignment/>
      <protection/>
    </xf>
    <xf numFmtId="0" fontId="107" fillId="0" borderId="0" xfId="26" applyFont="1">
      <alignment/>
      <protection/>
    </xf>
    <xf numFmtId="0" fontId="108" fillId="0" borderId="0" xfId="26" applyFont="1">
      <alignment/>
      <protection/>
    </xf>
    <xf numFmtId="0" fontId="16" fillId="0" borderId="0" xfId="28" applyFont="1" applyAlignment="1">
      <alignment/>
      <protection/>
    </xf>
    <xf numFmtId="0" fontId="112" fillId="0" borderId="0" xfId="28" applyFont="1">
      <alignment/>
      <protection/>
    </xf>
    <xf numFmtId="0" fontId="113" fillId="0" borderId="0" xfId="28" applyFont="1">
      <alignment/>
      <protection/>
    </xf>
    <xf numFmtId="0" fontId="112" fillId="0" borderId="0" xfId="28">
      <alignment/>
      <protection/>
    </xf>
    <xf numFmtId="0" fontId="115" fillId="0" borderId="0" xfId="29" applyFont="1" applyBorder="1" applyAlignment="1">
      <alignment horizontal="left"/>
      <protection/>
    </xf>
    <xf numFmtId="0" fontId="116" fillId="0" borderId="0" xfId="29" applyFont="1" applyBorder="1" applyAlignment="1">
      <alignment horizontal="left"/>
      <protection/>
    </xf>
    <xf numFmtId="0" fontId="3" fillId="0" borderId="0" xfId="29" applyNumberFormat="1" applyFont="1" applyBorder="1" applyAlignment="1">
      <alignment horizontal="right"/>
      <protection/>
    </xf>
    <xf numFmtId="49" fontId="12" fillId="0" borderId="0" xfId="21" applyNumberFormat="1" applyFont="1" applyAlignment="1">
      <alignment horizontal="left"/>
      <protection/>
    </xf>
    <xf numFmtId="0" fontId="12" fillId="0" borderId="0" xfId="29" applyNumberFormat="1" applyFont="1" applyBorder="1" applyAlignment="1">
      <alignment horizontal="right"/>
      <protection/>
    </xf>
    <xf numFmtId="0" fontId="16" fillId="0" borderId="0" xfId="29" applyFont="1" applyAlignment="1">
      <alignment/>
      <protection/>
    </xf>
    <xf numFmtId="0" fontId="5" fillId="0" borderId="0" xfId="29" applyFont="1" applyAlignment="1">
      <alignment/>
      <protection/>
    </xf>
    <xf numFmtId="0" fontId="117" fillId="0" borderId="0" xfId="29" applyFont="1" applyBorder="1" applyAlignment="1">
      <alignment horizontal="left"/>
      <protection/>
    </xf>
    <xf numFmtId="0" fontId="118" fillId="0" borderId="0" xfId="29" applyFont="1" applyBorder="1" applyAlignment="1">
      <alignment horizontal="center"/>
      <protection/>
    </xf>
    <xf numFmtId="0" fontId="120" fillId="0" borderId="17" xfId="29" applyFont="1" applyBorder="1" applyAlignment="1">
      <alignment horizontal="center" vertical="center"/>
      <protection/>
    </xf>
    <xf numFmtId="0" fontId="121" fillId="0" borderId="17" xfId="29" applyFont="1" applyBorder="1" applyAlignment="1">
      <alignment horizontal="center" vertical="center"/>
      <protection/>
    </xf>
    <xf numFmtId="0" fontId="122" fillId="0" borderId="17" xfId="29" applyFont="1" applyBorder="1" applyAlignment="1">
      <alignment horizontal="center" vertical="center"/>
      <protection/>
    </xf>
    <xf numFmtId="0" fontId="10" fillId="0" borderId="17" xfId="29" applyFont="1" applyBorder="1" applyAlignment="1">
      <alignment horizontal="center" vertical="center"/>
      <protection/>
    </xf>
    <xf numFmtId="0" fontId="45" fillId="0" borderId="17" xfId="29" applyFont="1" applyBorder="1" applyAlignment="1">
      <alignment horizontal="center" vertical="center"/>
      <protection/>
    </xf>
    <xf numFmtId="49" fontId="118" fillId="0" borderId="17" xfId="29" applyNumberFormat="1" applyFont="1" applyBorder="1" applyAlignment="1">
      <alignment horizontal="center" vertical="center"/>
      <protection/>
    </xf>
    <xf numFmtId="0" fontId="123" fillId="0" borderId="4" xfId="28" applyFont="1" applyBorder="1">
      <alignment/>
      <protection/>
    </xf>
    <xf numFmtId="0" fontId="123" fillId="0" borderId="17" xfId="28" applyFont="1" applyBorder="1">
      <alignment/>
      <protection/>
    </xf>
    <xf numFmtId="49" fontId="124" fillId="0" borderId="17" xfId="29" applyNumberFormat="1" applyFont="1" applyBorder="1" applyAlignment="1">
      <alignment horizontal="center" vertical="center"/>
      <protection/>
    </xf>
    <xf numFmtId="0" fontId="123" fillId="0" borderId="14" xfId="28" applyFont="1" applyBorder="1">
      <alignment/>
      <protection/>
    </xf>
    <xf numFmtId="0" fontId="10" fillId="0" borderId="0" xfId="29" applyFont="1" applyBorder="1" applyAlignment="1">
      <alignment horizontal="center" vertical="center"/>
      <protection/>
    </xf>
    <xf numFmtId="0" fontId="123" fillId="0" borderId="7" xfId="28" applyFont="1" applyBorder="1">
      <alignment/>
      <protection/>
    </xf>
    <xf numFmtId="0" fontId="125" fillId="0" borderId="17" xfId="28" applyFont="1" applyBorder="1" applyAlignment="1">
      <alignment horizontal="center"/>
      <protection/>
    </xf>
    <xf numFmtId="0" fontId="126" fillId="10" borderId="17" xfId="28" applyFont="1" applyFill="1" applyBorder="1" applyAlignment="1">
      <alignment horizontal="center"/>
      <protection/>
    </xf>
    <xf numFmtId="0" fontId="127" fillId="10" borderId="17" xfId="28" applyFont="1" applyFill="1" applyBorder="1" applyAlignment="1">
      <alignment horizontal="center"/>
      <protection/>
    </xf>
    <xf numFmtId="0" fontId="123" fillId="4" borderId="17" xfId="28" applyFont="1" applyFill="1" applyBorder="1">
      <alignment/>
      <protection/>
    </xf>
    <xf numFmtId="0" fontId="124" fillId="4" borderId="17" xfId="29" applyFont="1" applyFill="1" applyBorder="1" applyAlignment="1">
      <alignment horizontal="left" vertical="center"/>
      <protection/>
    </xf>
    <xf numFmtId="0" fontId="128" fillId="4" borderId="17" xfId="28" applyFont="1" applyFill="1" applyBorder="1">
      <alignment/>
      <protection/>
    </xf>
    <xf numFmtId="0" fontId="118" fillId="4" borderId="17" xfId="29" applyFont="1" applyFill="1" applyBorder="1" applyAlignment="1">
      <alignment horizontal="left" vertical="center"/>
      <protection/>
    </xf>
    <xf numFmtId="0" fontId="123" fillId="0" borderId="0" xfId="28" applyFont="1">
      <alignment/>
      <protection/>
    </xf>
    <xf numFmtId="0" fontId="126" fillId="10" borderId="17" xfId="28" applyFont="1" applyFill="1" applyBorder="1" applyAlignment="1">
      <alignment horizontal="center"/>
      <protection/>
    </xf>
    <xf numFmtId="0" fontId="127" fillId="10" borderId="17" xfId="28" applyFont="1" applyFill="1" applyBorder="1" applyAlignment="1">
      <alignment horizontal="center"/>
      <protection/>
    </xf>
    <xf numFmtId="0" fontId="51" fillId="4" borderId="17" xfId="29" applyFont="1" applyFill="1" applyBorder="1" applyAlignment="1">
      <alignment horizontal="left" vertical="center"/>
      <protection/>
    </xf>
    <xf numFmtId="49" fontId="129" fillId="10" borderId="17" xfId="29" applyNumberFormat="1" applyFont="1" applyFill="1" applyBorder="1" applyAlignment="1">
      <alignment horizontal="center" vertical="center"/>
      <protection/>
    </xf>
    <xf numFmtId="0" fontId="51" fillId="4" borderId="7" xfId="29" applyFont="1" applyFill="1" applyBorder="1" applyAlignment="1">
      <alignment horizontal="left" vertical="center"/>
      <protection/>
    </xf>
    <xf numFmtId="1" fontId="10" fillId="0" borderId="14" xfId="29" applyNumberFormat="1" applyFont="1" applyBorder="1" applyAlignment="1">
      <alignment horizontal="center" vertical="center"/>
      <protection/>
    </xf>
    <xf numFmtId="1" fontId="10" fillId="0" borderId="17" xfId="29" applyNumberFormat="1" applyFont="1" applyBorder="1" applyAlignment="1">
      <alignment horizontal="center" vertical="center"/>
      <protection/>
    </xf>
    <xf numFmtId="0" fontId="124" fillId="0" borderId="17" xfId="29" applyFont="1" applyBorder="1" applyAlignment="1">
      <alignment horizontal="left" vertical="center"/>
      <protection/>
    </xf>
    <xf numFmtId="20" fontId="124" fillId="0" borderId="17" xfId="29" applyNumberFormat="1" applyFont="1" applyBorder="1" applyAlignment="1">
      <alignment horizontal="center" vertical="center"/>
      <protection/>
    </xf>
    <xf numFmtId="0" fontId="124" fillId="0" borderId="23" xfId="29" applyFont="1" applyBorder="1" applyAlignment="1">
      <alignment horizontal="left" vertical="center"/>
      <protection/>
    </xf>
    <xf numFmtId="0" fontId="126" fillId="10" borderId="17" xfId="28" applyFont="1" applyFill="1" applyBorder="1">
      <alignment/>
      <protection/>
    </xf>
    <xf numFmtId="0" fontId="123" fillId="0" borderId="23" xfId="28" applyFont="1" applyBorder="1">
      <alignment/>
      <protection/>
    </xf>
    <xf numFmtId="0" fontId="112" fillId="0" borderId="17" xfId="28" applyFont="1" applyBorder="1">
      <alignment/>
      <protection/>
    </xf>
    <xf numFmtId="0" fontId="48" fillId="10" borderId="17" xfId="29" applyFont="1" applyFill="1" applyBorder="1" applyAlignment="1">
      <alignment horizontal="center" vertical="center"/>
      <protection/>
    </xf>
    <xf numFmtId="0" fontId="118" fillId="0" borderId="17" xfId="29" applyFont="1" applyBorder="1" applyAlignment="1">
      <alignment horizontal="left" vertical="center"/>
      <protection/>
    </xf>
    <xf numFmtId="0" fontId="112" fillId="0" borderId="0" xfId="28" applyAlignment="1">
      <alignment horizontal="left"/>
      <protection/>
    </xf>
    <xf numFmtId="20" fontId="124" fillId="4" borderId="17" xfId="29" applyNumberFormat="1" applyFont="1" applyFill="1" applyBorder="1" applyAlignment="1">
      <alignment horizontal="center" vertical="center"/>
      <protection/>
    </xf>
    <xf numFmtId="0" fontId="128" fillId="0" borderId="17" xfId="28" applyFont="1" applyBorder="1">
      <alignment/>
      <protection/>
    </xf>
    <xf numFmtId="20" fontId="118" fillId="0" borderId="17" xfId="29" applyNumberFormat="1" applyFont="1" applyBorder="1" applyAlignment="1">
      <alignment horizontal="center" vertical="center"/>
      <protection/>
    </xf>
    <xf numFmtId="0" fontId="128" fillId="0" borderId="17" xfId="28" applyFont="1" applyBorder="1" applyAlignment="1">
      <alignment horizontal="center"/>
      <protection/>
    </xf>
    <xf numFmtId="0" fontId="112" fillId="0" borderId="0" xfId="28" applyFont="1" applyAlignment="1">
      <alignment horizontal="center"/>
      <protection/>
    </xf>
    <xf numFmtId="0" fontId="130" fillId="0" borderId="0" xfId="29" applyFont="1" applyBorder="1">
      <alignment/>
      <protection/>
    </xf>
    <xf numFmtId="0" fontId="131" fillId="0" borderId="0" xfId="29" applyFont="1" applyBorder="1">
      <alignment/>
      <protection/>
    </xf>
    <xf numFmtId="0" fontId="130" fillId="0" borderId="0" xfId="29" applyFont="1" applyBorder="1" applyAlignment="1">
      <alignment horizontal="right"/>
      <protection/>
    </xf>
    <xf numFmtId="0" fontId="101" fillId="0" borderId="0" xfId="29" applyFont="1" applyBorder="1">
      <alignment/>
      <protection/>
    </xf>
    <xf numFmtId="0" fontId="132" fillId="0" borderId="0" xfId="29" applyFont="1" applyBorder="1">
      <alignment/>
      <protection/>
    </xf>
    <xf numFmtId="0" fontId="10" fillId="0" borderId="7" xfId="29" applyFont="1" applyBorder="1" applyAlignment="1">
      <alignment horizontal="center" vertical="center"/>
      <protection/>
    </xf>
    <xf numFmtId="0" fontId="112" fillId="0" borderId="17" xfId="28" applyBorder="1">
      <alignment/>
      <protection/>
    </xf>
    <xf numFmtId="0" fontId="117" fillId="11" borderId="14" xfId="29" applyFont="1" applyFill="1" applyBorder="1" applyAlignment="1">
      <alignment horizontal="center" vertical="center"/>
      <protection/>
    </xf>
    <xf numFmtId="0" fontId="117" fillId="11" borderId="16" xfId="29" applyFont="1" applyFill="1" applyBorder="1" applyAlignment="1">
      <alignment horizontal="center" vertical="center"/>
      <protection/>
    </xf>
    <xf numFmtId="0" fontId="10" fillId="0" borderId="0" xfId="29" applyFont="1" applyBorder="1" applyAlignment="1">
      <alignment horizontal="left" vertical="top"/>
      <protection/>
    </xf>
    <xf numFmtId="0" fontId="115" fillId="0" borderId="0" xfId="29" applyFont="1" applyBorder="1" applyAlignment="1">
      <alignment horizontal="left"/>
      <protection/>
    </xf>
    <xf numFmtId="0" fontId="16" fillId="0" borderId="3" xfId="29" applyFont="1" applyBorder="1" applyAlignment="1">
      <alignment horizontal="center"/>
      <protection/>
    </xf>
    <xf numFmtId="0" fontId="119" fillId="0" borderId="0" xfId="29" applyFont="1" applyBorder="1">
      <alignment/>
      <protection/>
    </xf>
    <xf numFmtId="0" fontId="117" fillId="12" borderId="14" xfId="29" applyFont="1" applyFill="1" applyBorder="1" applyAlignment="1">
      <alignment horizontal="center" vertical="center"/>
      <protection/>
    </xf>
    <xf numFmtId="0" fontId="117" fillId="12" borderId="16" xfId="29" applyFont="1" applyFill="1" applyBorder="1" applyAlignment="1">
      <alignment horizontal="center" vertical="center"/>
      <protection/>
    </xf>
    <xf numFmtId="0" fontId="117" fillId="11" borderId="4" xfId="29" applyFont="1" applyFill="1" applyBorder="1" applyAlignment="1">
      <alignment horizontal="center" vertical="center"/>
      <protection/>
    </xf>
    <xf numFmtId="0" fontId="117" fillId="11" borderId="9" xfId="29" applyFont="1" applyFill="1" applyBorder="1" applyAlignment="1">
      <alignment horizontal="center" vertical="center"/>
      <protection/>
    </xf>
    <xf numFmtId="0" fontId="12" fillId="13" borderId="14" xfId="29" applyFont="1" applyFill="1" applyBorder="1" applyAlignment="1">
      <alignment horizontal="center" vertical="center"/>
      <protection/>
    </xf>
    <xf numFmtId="0" fontId="12" fillId="13" borderId="16" xfId="29" applyFont="1" applyFill="1" applyBorder="1" applyAlignment="1">
      <alignment horizontal="center" vertical="center"/>
      <protection/>
    </xf>
    <xf numFmtId="22" fontId="130" fillId="0" borderId="20" xfId="29" applyNumberFormat="1" applyFont="1" applyBorder="1" applyAlignment="1">
      <alignment horizontal="left"/>
      <protection/>
    </xf>
    <xf numFmtId="14" fontId="37" fillId="0" borderId="6" xfId="24" applyNumberFormat="1" applyFont="1" applyFill="1" applyBorder="1" applyAlignment="1">
      <alignment horizontal="center" vertical="center"/>
      <protection/>
    </xf>
    <xf numFmtId="14" fontId="37" fillId="0" borderId="3" xfId="24" applyNumberFormat="1" applyFont="1" applyFill="1" applyBorder="1" applyAlignment="1">
      <alignment horizontal="center" vertical="center"/>
      <protection/>
    </xf>
    <xf numFmtId="49" fontId="37" fillId="0" borderId="0" xfId="24" applyNumberFormat="1" applyFont="1" applyFill="1" applyAlignment="1">
      <alignment horizontal="left" vertical="center"/>
      <protection/>
    </xf>
    <xf numFmtId="49" fontId="37" fillId="0" borderId="5" xfId="24" applyNumberFormat="1" applyFont="1" applyFill="1" applyBorder="1" applyAlignment="1">
      <alignment horizontal="left" vertical="center"/>
      <protection/>
    </xf>
    <xf numFmtId="49" fontId="37" fillId="0" borderId="3" xfId="24" applyNumberFormat="1" applyFont="1" applyFill="1" applyBorder="1" applyAlignment="1">
      <alignment horizontal="left" vertical="center"/>
      <protection/>
    </xf>
    <xf numFmtId="49" fontId="37" fillId="0" borderId="13" xfId="24" applyNumberFormat="1" applyFont="1" applyFill="1" applyBorder="1" applyAlignment="1">
      <alignment horizontal="left" vertical="center"/>
      <protection/>
    </xf>
    <xf numFmtId="49" fontId="33" fillId="2" borderId="0" xfId="24" applyNumberFormat="1" applyFont="1" applyFill="1" applyAlignment="1">
      <alignment horizontal="center" vertical="center"/>
      <protection/>
    </xf>
    <xf numFmtId="0" fontId="15" fillId="7" borderId="0" xfId="24" applyFont="1" applyFill="1" applyBorder="1" applyAlignment="1">
      <alignment horizontal="center" vertical="center"/>
      <protection/>
    </xf>
    <xf numFmtId="0" fontId="50" fillId="0" borderId="8" xfId="24" applyFont="1" applyBorder="1" applyAlignment="1">
      <alignment horizontal="center" vertical="center"/>
      <protection/>
    </xf>
    <xf numFmtId="0" fontId="50" fillId="0" borderId="0" xfId="24" applyFont="1" applyAlignment="1">
      <alignment horizontal="center" vertical="center"/>
      <protection/>
    </xf>
    <xf numFmtId="0" fontId="50" fillId="0" borderId="0" xfId="24" applyFont="1" applyBorder="1" applyAlignment="1">
      <alignment horizontal="center" vertical="center"/>
      <protection/>
    </xf>
    <xf numFmtId="22" fontId="33" fillId="0" borderId="15" xfId="24" applyNumberFormat="1" applyFont="1" applyFill="1" applyBorder="1" applyAlignment="1">
      <alignment horizontal="left" vertical="center"/>
      <protection/>
    </xf>
    <xf numFmtId="0" fontId="1" fillId="0" borderId="16" xfId="24" applyBorder="1" applyAlignment="1">
      <alignment vertical="center"/>
      <protection/>
    </xf>
    <xf numFmtId="0" fontId="93" fillId="0" borderId="22" xfId="26" applyFont="1" applyBorder="1" applyAlignment="1">
      <alignment horizontal="center"/>
      <protection/>
    </xf>
    <xf numFmtId="0" fontId="92" fillId="0" borderId="0" xfId="26" applyFont="1" applyFill="1">
      <alignment/>
      <protection/>
    </xf>
    <xf numFmtId="0" fontId="61" fillId="0" borderId="0" xfId="26" applyFont="1" applyAlignment="1">
      <alignment horizontal="center"/>
      <protection/>
    </xf>
    <xf numFmtId="0" fontId="61" fillId="0" borderId="0" xfId="26" applyFont="1" applyBorder="1" applyAlignment="1">
      <alignment horizontal="center"/>
      <protection/>
    </xf>
    <xf numFmtId="0" fontId="68" fillId="0" borderId="0" xfId="26" applyFont="1" applyBorder="1" applyAlignment="1">
      <alignment horizontal="center" wrapText="1"/>
      <protection/>
    </xf>
    <xf numFmtId="0" fontId="92" fillId="0" borderId="0" xfId="26" applyFont="1">
      <alignment/>
      <protection/>
    </xf>
    <xf numFmtId="0" fontId="61" fillId="0" borderId="0" xfId="26" applyFont="1" applyBorder="1">
      <alignment/>
      <protection/>
    </xf>
    <xf numFmtId="0" fontId="68" fillId="0" borderId="22" xfId="26" applyFont="1" applyBorder="1" applyAlignment="1">
      <alignment horizontal="center"/>
      <protection/>
    </xf>
    <xf numFmtId="0" fontId="94" fillId="0" borderId="24" xfId="26" applyFont="1" applyBorder="1">
      <alignment/>
      <protection/>
    </xf>
    <xf numFmtId="0" fontId="81" fillId="0" borderId="14" xfId="26" applyFont="1" applyBorder="1" applyAlignment="1">
      <alignment horizontal="center"/>
      <protection/>
    </xf>
    <xf numFmtId="0" fontId="81" fillId="0" borderId="15" xfId="26" applyFont="1" applyBorder="1" applyAlignment="1">
      <alignment horizontal="center"/>
      <protection/>
    </xf>
    <xf numFmtId="0" fontId="81" fillId="0" borderId="16" xfId="26" applyFont="1" applyBorder="1" applyAlignment="1">
      <alignment horizontal="center"/>
      <protection/>
    </xf>
    <xf numFmtId="0" fontId="62" fillId="0" borderId="0" xfId="26" applyFont="1" applyBorder="1" applyAlignment="1">
      <alignment horizontal="center"/>
      <protection/>
    </xf>
    <xf numFmtId="0" fontId="67" fillId="0" borderId="0" xfId="26" applyFont="1">
      <alignment/>
      <protection/>
    </xf>
    <xf numFmtId="0" fontId="63" fillId="0" borderId="0" xfId="26" applyFont="1" applyBorder="1">
      <alignment/>
      <protection/>
    </xf>
    <xf numFmtId="0" fontId="70" fillId="0" borderId="22" xfId="26" applyFont="1" applyBorder="1" applyAlignment="1">
      <alignment horizontal="left"/>
      <protection/>
    </xf>
    <xf numFmtId="0" fontId="70" fillId="0" borderId="0" xfId="26" applyFont="1" applyBorder="1" applyAlignment="1">
      <alignment horizontal="left"/>
      <protection/>
    </xf>
    <xf numFmtId="0" fontId="68" fillId="0" borderId="0" xfId="26" applyFont="1" applyBorder="1">
      <alignment/>
      <protection/>
    </xf>
    <xf numFmtId="49" fontId="6" fillId="0" borderId="0" xfId="20" applyNumberFormat="1" applyFont="1" applyBorder="1">
      <alignment/>
      <protection/>
    </xf>
    <xf numFmtId="49" fontId="16" fillId="4" borderId="0" xfId="20" applyNumberFormat="1" applyFont="1" applyFill="1" applyBorder="1" applyAlignment="1">
      <alignment horizontal="center" vertical="center"/>
      <protection/>
    </xf>
    <xf numFmtId="49" fontId="17" fillId="4" borderId="0" xfId="20" applyNumberFormat="1" applyFont="1" applyFill="1" applyBorder="1" applyAlignment="1">
      <alignment horizontal="center" vertical="center"/>
      <protection/>
    </xf>
    <xf numFmtId="49" fontId="3" fillId="0" borderId="0" xfId="20" applyNumberFormat="1" applyFont="1" applyBorder="1" applyAlignment="1">
      <alignment horizontal="center"/>
      <protection/>
    </xf>
    <xf numFmtId="49" fontId="6" fillId="0" borderId="0" xfId="20" applyNumberFormat="1" applyFont="1" applyBorder="1" applyAlignment="1">
      <alignment horizontal="center"/>
      <protection/>
    </xf>
    <xf numFmtId="49" fontId="8" fillId="0" borderId="0" xfId="21" applyNumberFormat="1" applyFont="1" applyAlignment="1">
      <alignment horizontal="center"/>
      <protection/>
    </xf>
    <xf numFmtId="49" fontId="3" fillId="0" borderId="0" xfId="20" applyNumberFormat="1" applyFont="1" applyBorder="1" applyAlignment="1">
      <alignment horizontal="center"/>
      <protection/>
    </xf>
  </cellXfs>
  <cellStyles count="16">
    <cellStyle name="Normal" xfId="0"/>
    <cellStyle name="Percent" xfId="15"/>
    <cellStyle name="Currency" xfId="16"/>
    <cellStyle name="Currency [0]" xfId="17"/>
    <cellStyle name="Comma" xfId="18"/>
    <cellStyle name="Comma [0]" xfId="19"/>
    <cellStyle name="Navadno 2" xfId="20"/>
    <cellStyle name="Normal 2" xfId="21"/>
    <cellStyle name="Navadno 2 2" xfId="22"/>
    <cellStyle name="Valuta 2" xfId="23"/>
    <cellStyle name="Normal 3" xfId="24"/>
    <cellStyle name="Currency 2" xfId="25"/>
    <cellStyle name="Navadno_03_rr4" xfId="26"/>
    <cellStyle name="Navadno_03_rr5" xfId="27"/>
    <cellStyle name="Navadno_Zvezek1" xfId="28"/>
    <cellStyle name="Navadno_13_urnik" xfId="29"/>
  </cellStyles>
  <dxfs count="85">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ill>
        <patternFill>
          <bgColor indexed="9"/>
        </patternFill>
      </fill>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ill>
        <patternFill>
          <bgColor indexed="9"/>
        </patternFill>
      </fill>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ill>
        <patternFill>
          <bgColor indexed="9"/>
        </patternFill>
      </fill>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ill>
        <patternFill>
          <bgColor indexed="9"/>
        </patternFill>
      </fill>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1943100</xdr:colOff>
      <xdr:row>0</xdr:row>
      <xdr:rowOff>104775</xdr:rowOff>
    </xdr:from>
    <xdr:to>
      <xdr:col>4</xdr:col>
      <xdr:colOff>666750</xdr:colOff>
      <xdr:row>1</xdr:row>
      <xdr:rowOff>219075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48225" y="104775"/>
          <a:ext cx="2009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4097" name="Button 1" hidden="1">
              <a:extLst xmlns:a="http://schemas.openxmlformats.org/drawingml/2006/main">
                <a:ext uri="{63B3BB69-23CF-44E3-9099-C40C66FF867C}">
                  <a14:compatExt spid="_x0000_s40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4098" name="Button 2" hidden="1">
              <a:extLst xmlns:a="http://schemas.openxmlformats.org/drawingml/2006/main">
                <a:ext uri="{63B3BB69-23CF-44E3-9099-C40C66FF867C}">
                  <a14:compatExt spid="_x0000_s409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5121" name="Button 1" hidden="1">
              <a:extLst xmlns:a="http://schemas.openxmlformats.org/drawingml/2006/main">
                <a:ext uri="{63B3BB69-23CF-44E3-9099-C40C66FF867C}">
                  <a14:compatExt spid="_x0000_s51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5122" name="Button 2" hidden="1">
              <a:extLst xmlns:a="http://schemas.openxmlformats.org/drawingml/2006/main">
                <a:ext uri="{63B3BB69-23CF-44E3-9099-C40C66FF867C}">
                  <a14:compatExt spid="_x0000_s512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7169" name="Button 1" hidden="1">
              <a:extLst xmlns:a="http://schemas.openxmlformats.org/drawingml/2006/main">
                <a:ext uri="{63B3BB69-23CF-44E3-9099-C40C66FF867C}">
                  <a14:compatExt spid="_x0000_s716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7170" name="Button 2" hidden="1">
              <a:extLst xmlns:a="http://schemas.openxmlformats.org/drawingml/2006/main">
                <a:ext uri="{63B3BB69-23CF-44E3-9099-C40C66FF867C}">
                  <a14:compatExt spid="_x0000_s717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0</xdr:row>
      <xdr:rowOff>19050</xdr:rowOff>
    </xdr:from>
    <xdr:to>
      <xdr:col>11</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24750" y="19050"/>
          <a:ext cx="1095375" cy="3238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19050</xdr:rowOff>
    </xdr:from>
    <xdr:to>
      <xdr:col>13</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91575" y="19050"/>
          <a:ext cx="1095375" cy="3238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0</xdr:row>
      <xdr:rowOff>19050</xdr:rowOff>
    </xdr:from>
    <xdr:to>
      <xdr:col>11</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72350" y="19050"/>
          <a:ext cx="1095375" cy="3238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jar\Desktop\&#381;REB%20DP%20%20RVO%20ZKLUB-SEP%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1;REB%20PROGRAM%203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jar\Downloads\sodni&#353;ki_program_2009_v1%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5+%20MO&#352;KI%20PROGR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jar\Downloads\sodni&#353;ki_program_2009_v1%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er\Desktop\POLETJE%202015\sodni&#353;ki_program_2009_v1%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vpisna lista do 35"/>
      <sheetName val="m glavni turnir žrebna lista"/>
      <sheetName val="m glavni 32 - do 35 let"/>
      <sheetName val="m  vpisna lista 35+"/>
      <sheetName val="m glavni turnir žrebna list "/>
      <sheetName val="m glavni 32 35+"/>
      <sheetName val=" m vpisna 45+"/>
      <sheetName val="m glavni 32 45+"/>
      <sheetName val="m  vpisna lista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sodniški stroški"/>
      <sheetName val="razpored"/>
      <sheetName val="razpored (8)"/>
      <sheetName val="razpored (4)"/>
      <sheetName val="List1"/>
      <sheetName val="ŽREB DP  RVO ZKLUB-SEP 2019"/>
    </sheetNames>
    <definedNames>
      <definedName name="Jun_Hide_CU"/>
      <definedName name="Jun_Show_CU"/>
    </definedNames>
    <sheetDataSet>
      <sheetData sheetId="0">
        <row r="6">
          <cell r="A6" t="str">
            <v>RVO - DRŽAVNO PRVENSTVO</v>
          </cell>
        </row>
        <row r="8">
          <cell r="B8" t="str">
            <v>MŽ</v>
          </cell>
          <cell r="D8" t="str">
            <v>DP</v>
          </cell>
        </row>
        <row r="10">
          <cell r="A10" t="str">
            <v>13.-15.9.2019</v>
          </cell>
          <cell r="B10" t="str">
            <v>LUKA ZALAZNIK</v>
          </cell>
          <cell r="C10" t="str">
            <v>TK Z SPORT</v>
          </cell>
          <cell r="D10">
            <v>1</v>
          </cell>
          <cell r="E10" t="str">
            <v>ANJA REGENT</v>
          </cell>
        </row>
      </sheetData>
      <sheetData sheetId="1"/>
      <sheetData sheetId="2">
        <row r="7">
          <cell r="A7">
            <v>1</v>
          </cell>
          <cell r="C7" t="str">
            <v>Jarc Matej</v>
          </cell>
          <cell r="D7">
            <v>1</v>
          </cell>
        </row>
        <row r="8">
          <cell r="A8">
            <v>2</v>
          </cell>
          <cell r="C8" t="str">
            <v>Bator Filip</v>
          </cell>
          <cell r="D8">
            <v>2</v>
          </cell>
        </row>
        <row r="9">
          <cell r="A9">
            <v>3</v>
          </cell>
          <cell r="C9" t="str">
            <v>Pečečnik Denis</v>
          </cell>
          <cell r="D9">
            <v>3</v>
          </cell>
        </row>
        <row r="10">
          <cell r="A10">
            <v>4</v>
          </cell>
          <cell r="C10" t="str">
            <v>Pevc Peter</v>
          </cell>
          <cell r="D10">
            <v>4</v>
          </cell>
        </row>
        <row r="11">
          <cell r="A11">
            <v>5</v>
          </cell>
          <cell r="C11" t="str">
            <v>Biščak Urban</v>
          </cell>
        </row>
        <row r="12">
          <cell r="A12">
            <v>6</v>
          </cell>
          <cell r="C12" t="str">
            <v>Breulj Rok</v>
          </cell>
        </row>
        <row r="13">
          <cell r="A13">
            <v>7</v>
          </cell>
          <cell r="C13" t="str">
            <v>Kimovec Matic</v>
          </cell>
        </row>
        <row r="14">
          <cell r="A14">
            <v>8</v>
          </cell>
          <cell r="C14" t="str">
            <v>Lap Jan</v>
          </cell>
        </row>
        <row r="15">
          <cell r="A15">
            <v>9</v>
          </cell>
          <cell r="C15" t="str">
            <v>Manasijević Vladimir</v>
          </cell>
        </row>
        <row r="16">
          <cell r="A16">
            <v>10</v>
          </cell>
          <cell r="C16" t="str">
            <v>Mihelič Gašper</v>
          </cell>
        </row>
        <row r="17">
          <cell r="A17">
            <v>11</v>
          </cell>
          <cell r="C17" t="str">
            <v>Ogrič Miha</v>
          </cell>
        </row>
        <row r="18">
          <cell r="A18">
            <v>12</v>
          </cell>
          <cell r="C18" t="str">
            <v>Stopar Luka</v>
          </cell>
        </row>
        <row r="19">
          <cell r="A19">
            <v>13</v>
          </cell>
          <cell r="C19" t="str">
            <v>Sušnik Urban</v>
          </cell>
        </row>
        <row r="20">
          <cell r="A20">
            <v>14</v>
          </cell>
          <cell r="C20" t="str">
            <v>Zajec Gaber</v>
          </cell>
        </row>
        <row r="21">
          <cell r="A21">
            <v>15</v>
          </cell>
          <cell r="C21" t="str">
            <v>Zalar Tilen</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m  vpisna lista"/>
      <sheetName val="m glavni turnir žrebna lista"/>
      <sheetName val="m glavni 3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ŽREB PROGRAM 35 +"/>
    </sheetNames>
    <definedNames>
      <definedName name="Jun_Hide_CU"/>
      <definedName name="Jun_Show_CU"/>
    </definedNames>
    <sheetDataSet>
      <sheetData sheetId="0">
        <row r="6">
          <cell r="A6" t="str">
            <v>RVO - DRŽAVNO PRVENSTVO</v>
          </cell>
        </row>
        <row r="10">
          <cell r="B10" t="str">
            <v>LUKA ZALAZNIK</v>
          </cell>
          <cell r="C10" t="str">
            <v>TK ZKLUB</v>
          </cell>
          <cell r="E10" t="str">
            <v>ANJA REGENT</v>
          </cell>
        </row>
      </sheetData>
      <sheetData sheetId="1"/>
      <sheetData sheetId="2">
        <row r="7">
          <cell r="A7">
            <v>1</v>
          </cell>
          <cell r="C7" t="str">
            <v>Škrjanc Marko</v>
          </cell>
          <cell r="D7">
            <v>1</v>
          </cell>
        </row>
        <row r="8">
          <cell r="A8">
            <v>2</v>
          </cell>
          <cell r="C8" t="str">
            <v>Maček Aleš</v>
          </cell>
          <cell r="D8">
            <v>2</v>
          </cell>
        </row>
        <row r="9">
          <cell r="A9">
            <v>3</v>
          </cell>
          <cell r="C9" t="str">
            <v>Kadivnik Klemen</v>
          </cell>
          <cell r="D9">
            <v>3</v>
          </cell>
        </row>
        <row r="10">
          <cell r="A10">
            <v>4</v>
          </cell>
          <cell r="C10" t="str">
            <v>Janhar Blaž</v>
          </cell>
          <cell r="D10">
            <v>4</v>
          </cell>
        </row>
        <row r="11">
          <cell r="A11">
            <v>5</v>
          </cell>
          <cell r="C11" t="str">
            <v>Lopatič Marko</v>
          </cell>
          <cell r="D11">
            <v>5</v>
          </cell>
        </row>
        <row r="12">
          <cell r="A12">
            <v>6</v>
          </cell>
          <cell r="C12" t="str">
            <v>Omanović Elvin</v>
          </cell>
          <cell r="D12">
            <v>6</v>
          </cell>
        </row>
        <row r="13">
          <cell r="A13">
            <v>7</v>
          </cell>
          <cell r="C13" t="str">
            <v>Skvarča Samo</v>
          </cell>
          <cell r="D13">
            <v>7</v>
          </cell>
        </row>
        <row r="14">
          <cell r="A14">
            <v>8</v>
          </cell>
          <cell r="C14" t="str">
            <v>Uranič Denis</v>
          </cell>
          <cell r="D14">
            <v>8</v>
          </cell>
        </row>
        <row r="15">
          <cell r="A15">
            <v>9</v>
          </cell>
          <cell r="C15" t="str">
            <v>Agrež Tadej</v>
          </cell>
        </row>
        <row r="16">
          <cell r="A16">
            <v>10</v>
          </cell>
          <cell r="C16" t="str">
            <v>Amon Samo</v>
          </cell>
        </row>
        <row r="17">
          <cell r="A17">
            <v>11</v>
          </cell>
          <cell r="C17" t="str">
            <v>Benčina Jaka</v>
          </cell>
        </row>
        <row r="18">
          <cell r="A18">
            <v>12</v>
          </cell>
          <cell r="C18" t="str">
            <v>Grašić Damjan</v>
          </cell>
        </row>
        <row r="19">
          <cell r="A19">
            <v>13</v>
          </cell>
          <cell r="C19" t="str">
            <v>Hriberski Gašper</v>
          </cell>
        </row>
        <row r="20">
          <cell r="A20">
            <v>14</v>
          </cell>
          <cell r="C20" t="str">
            <v>Jolič Rade</v>
          </cell>
        </row>
        <row r="21">
          <cell r="A21">
            <v>15</v>
          </cell>
          <cell r="C21" t="str">
            <v>Jovanovič Zoran</v>
          </cell>
        </row>
        <row r="22">
          <cell r="A22">
            <v>16</v>
          </cell>
          <cell r="C22" t="str">
            <v>Kržič Andraž</v>
          </cell>
        </row>
        <row r="23">
          <cell r="A23">
            <v>17</v>
          </cell>
          <cell r="C23" t="str">
            <v>Kvas Miha</v>
          </cell>
        </row>
        <row r="24">
          <cell r="A24">
            <v>18</v>
          </cell>
          <cell r="C24" t="str">
            <v>Levovnik Jure</v>
          </cell>
        </row>
        <row r="25">
          <cell r="A25">
            <v>19</v>
          </cell>
          <cell r="C25" t="str">
            <v>Magajne Toni</v>
          </cell>
        </row>
        <row r="26">
          <cell r="A26">
            <v>20</v>
          </cell>
          <cell r="C26" t="str">
            <v>Smerkol Rok</v>
          </cell>
        </row>
        <row r="27">
          <cell r="A27">
            <v>21</v>
          </cell>
          <cell r="C27" t="str">
            <v>Turuk Marko</v>
          </cell>
        </row>
        <row r="28">
          <cell r="A28">
            <v>22</v>
          </cell>
          <cell r="C28" t="str">
            <v>Smerkol Damjan</v>
          </cell>
        </row>
        <row r="29">
          <cell r="A29">
            <v>23</v>
          </cell>
          <cell r="C29" t="str">
            <v>Bizjak Tomaž</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45 +"/>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sodniški_program_2009_v1 (7)"/>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1"/>
      <sheetData sheetId="2">
        <row r="21">
          <cell r="P21" t="str">
            <v>Sodnik</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3"/>
      <sheetData sheetId="4">
        <row r="7">
          <cell r="A7">
            <v>1</v>
          </cell>
          <cell r="C7" t="str">
            <v>Komar Tone</v>
          </cell>
          <cell r="D7">
            <v>1</v>
          </cell>
        </row>
        <row r="8">
          <cell r="A8">
            <v>2</v>
          </cell>
          <cell r="C8" t="str">
            <v>Leber Sebastjan</v>
          </cell>
          <cell r="D8">
            <v>2</v>
          </cell>
        </row>
        <row r="9">
          <cell r="A9">
            <v>3</v>
          </cell>
          <cell r="C9" t="str">
            <v>Golob Peter</v>
          </cell>
          <cell r="D9">
            <v>3</v>
          </cell>
        </row>
        <row r="10">
          <cell r="A10">
            <v>4</v>
          </cell>
          <cell r="C10" t="str">
            <v>Alojz Ašič</v>
          </cell>
          <cell r="D10">
            <v>4</v>
          </cell>
        </row>
        <row r="11">
          <cell r="A11">
            <v>5</v>
          </cell>
          <cell r="C11" t="str">
            <v>Kukovica Robert</v>
          </cell>
          <cell r="D11">
            <v>5</v>
          </cell>
        </row>
        <row r="12">
          <cell r="A12">
            <v>6</v>
          </cell>
          <cell r="C12" t="str">
            <v>Raguž Dragan</v>
          </cell>
          <cell r="D12">
            <v>6</v>
          </cell>
        </row>
        <row r="13">
          <cell r="A13">
            <v>7</v>
          </cell>
          <cell r="C13" t="str">
            <v>Perkovič Igor</v>
          </cell>
          <cell r="D13">
            <v>7</v>
          </cell>
        </row>
        <row r="14">
          <cell r="A14">
            <v>8</v>
          </cell>
          <cell r="C14" t="str">
            <v>Meolic Srečko</v>
          </cell>
          <cell r="D14">
            <v>8</v>
          </cell>
        </row>
        <row r="15">
          <cell r="A15">
            <v>9</v>
          </cell>
          <cell r="C15" t="str">
            <v>Blatnik Dušan</v>
          </cell>
        </row>
        <row r="16">
          <cell r="A16">
            <v>10</v>
          </cell>
          <cell r="C16" t="str">
            <v>Blatnik Matjaž</v>
          </cell>
        </row>
        <row r="17">
          <cell r="A17">
            <v>11</v>
          </cell>
          <cell r="C17" t="str">
            <v>Bolhar Gašper</v>
          </cell>
        </row>
        <row r="18">
          <cell r="A18">
            <v>12</v>
          </cell>
          <cell r="C18" t="str">
            <v>Eržen Matej</v>
          </cell>
        </row>
        <row r="19">
          <cell r="A19">
            <v>13</v>
          </cell>
          <cell r="C19" t="str">
            <v>Horvat Tomi</v>
          </cell>
        </row>
        <row r="20">
          <cell r="A20">
            <v>14</v>
          </cell>
          <cell r="C20" t="str">
            <v>Kvas Miha</v>
          </cell>
        </row>
        <row r="21">
          <cell r="A21">
            <v>15</v>
          </cell>
          <cell r="C21" t="str">
            <v>Maver Peter</v>
          </cell>
        </row>
        <row r="22">
          <cell r="A22">
            <v>16</v>
          </cell>
          <cell r="C22" t="str">
            <v>Misajlovski Jordan</v>
          </cell>
        </row>
        <row r="23">
          <cell r="A23">
            <v>17</v>
          </cell>
          <cell r="C23" t="str">
            <v>Nosan Robert</v>
          </cell>
        </row>
        <row r="24">
          <cell r="A24">
            <v>18</v>
          </cell>
          <cell r="C24" t="str">
            <v>Svoljšak Janez</v>
          </cell>
        </row>
        <row r="25">
          <cell r="A25">
            <v>19</v>
          </cell>
          <cell r="C25" t="str">
            <v>Škorjanc Grega</v>
          </cell>
        </row>
        <row r="26">
          <cell r="A26">
            <v>20</v>
          </cell>
          <cell r="C26" t="str">
            <v>Trbežnik Matjaž</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55+ MOŠKI PROGRAM"/>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1"/>
      <sheetData sheetId="2">
        <row r="21">
          <cell r="P21" t="str">
            <v>Sodnik</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3"/>
      <sheetData sheetId="4">
        <row r="7">
          <cell r="A7">
            <v>1</v>
          </cell>
          <cell r="C7" t="str">
            <v>Beliš Ivo</v>
          </cell>
          <cell r="D7">
            <v>1</v>
          </cell>
        </row>
        <row r="8">
          <cell r="A8">
            <v>2</v>
          </cell>
          <cell r="C8" t="str">
            <v>Tanjšek Zmago</v>
          </cell>
          <cell r="D8">
            <v>2</v>
          </cell>
        </row>
        <row r="9">
          <cell r="A9">
            <v>3</v>
          </cell>
          <cell r="C9" t="str">
            <v>Guna Branko</v>
          </cell>
          <cell r="D9">
            <v>3</v>
          </cell>
        </row>
        <row r="10">
          <cell r="A10">
            <v>4</v>
          </cell>
          <cell r="C10" t="str">
            <v>Kunavar Miloš</v>
          </cell>
          <cell r="D10">
            <v>4</v>
          </cell>
        </row>
        <row r="11">
          <cell r="A11">
            <v>5</v>
          </cell>
          <cell r="C11" t="str">
            <v>Stefanovič Miran</v>
          </cell>
          <cell r="D11">
            <v>5</v>
          </cell>
        </row>
        <row r="12">
          <cell r="A12">
            <v>6</v>
          </cell>
          <cell r="C12" t="str">
            <v>Frece Matjaž</v>
          </cell>
          <cell r="D12">
            <v>6</v>
          </cell>
        </row>
        <row r="13">
          <cell r="A13">
            <v>7</v>
          </cell>
          <cell r="C13" t="str">
            <v>Dolčič Brane</v>
          </cell>
          <cell r="D13">
            <v>7</v>
          </cell>
        </row>
        <row r="14">
          <cell r="A14">
            <v>8</v>
          </cell>
          <cell r="C14" t="str">
            <v>Podgornik Branko</v>
          </cell>
          <cell r="D14">
            <v>8</v>
          </cell>
        </row>
        <row r="15">
          <cell r="A15">
            <v>9</v>
          </cell>
          <cell r="C15" t="str">
            <v>Bator Mitja</v>
          </cell>
        </row>
        <row r="16">
          <cell r="A16">
            <v>10</v>
          </cell>
          <cell r="C16" t="str">
            <v>Beširevič Nedo</v>
          </cell>
        </row>
        <row r="17">
          <cell r="A17">
            <v>11</v>
          </cell>
          <cell r="C17" t="str">
            <v>Burkelc Srečko</v>
          </cell>
        </row>
        <row r="18">
          <cell r="A18">
            <v>12</v>
          </cell>
          <cell r="C18" t="str">
            <v>Glavič Bojan</v>
          </cell>
        </row>
        <row r="19">
          <cell r="A19">
            <v>13</v>
          </cell>
          <cell r="C19" t="str">
            <v>Juričič Alfredo</v>
          </cell>
        </row>
        <row r="20">
          <cell r="A20">
            <v>14</v>
          </cell>
          <cell r="C20" t="str">
            <v>Krumpak Milan</v>
          </cell>
        </row>
        <row r="21">
          <cell r="A21">
            <v>15</v>
          </cell>
          <cell r="C21" t="str">
            <v>Mesec Dejan</v>
          </cell>
        </row>
        <row r="22">
          <cell r="A22">
            <v>16</v>
          </cell>
          <cell r="C22" t="str">
            <v>Mestek Lan</v>
          </cell>
        </row>
        <row r="23">
          <cell r="A23">
            <v>17</v>
          </cell>
          <cell r="C23" t="str">
            <v>Pergar Andrej</v>
          </cell>
        </row>
        <row r="24">
          <cell r="A24">
            <v>18</v>
          </cell>
          <cell r="C24" t="str">
            <v>Šega Marko</v>
          </cell>
        </row>
        <row r="25">
          <cell r="A25">
            <v>19</v>
          </cell>
          <cell r="C25" t="str">
            <v>Zobec Tomi</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65 +"/>
      <sheetName val="m round robin 65 + "/>
      <sheetName val="m round robin 5"/>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RVO - DRŽAVNO PRVENSTVO</v>
          </cell>
        </row>
        <row r="10">
          <cell r="B10" t="str">
            <v>LUKA ZALAZNIK</v>
          </cell>
          <cell r="E10" t="str">
            <v>ANJA REGENT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7">
          <cell r="A7">
            <v>1</v>
          </cell>
          <cell r="C7" t="str">
            <v>Boh Mojmir</v>
          </cell>
        </row>
        <row r="8">
          <cell r="A8">
            <v>2</v>
          </cell>
          <cell r="C8" t="str">
            <v>Slavinec Igor</v>
          </cell>
        </row>
        <row r="9">
          <cell r="A9">
            <v>3</v>
          </cell>
          <cell r="C9" t="str">
            <v>Stibilj Cvetko</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ZALA KOPER OPEN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5.xml" /><Relationship Id="rId5" Type="http://schemas.openxmlformats.org/officeDocument/2006/relationships/ctrlProp" Target="../ctrlProps/ctrlProp6.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7.xml" /><Relationship Id="rId5" Type="http://schemas.openxmlformats.org/officeDocument/2006/relationships/ctrlProp" Target="../ctrlProps/ctrlProp8.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3"/>
  <sheetViews>
    <sheetView showGridLines="0" showZeros="0" workbookViewId="0" topLeftCell="A38">
      <selection activeCell="B49" sqref="B49"/>
    </sheetView>
  </sheetViews>
  <sheetFormatPr defaultColWidth="9.140625" defaultRowHeight="15"/>
  <cols>
    <col min="1" max="1" width="5.8515625" style="446" customWidth="1"/>
    <col min="2" max="2" width="37.7109375" style="446" customWidth="1"/>
    <col min="3" max="3" width="37.8515625" style="446" customWidth="1"/>
    <col min="4" max="4" width="11.421875" style="445" customWidth="1"/>
    <col min="5" max="5" width="12.140625" style="446" customWidth="1"/>
    <col min="6" max="16384" width="9.140625" style="447" customWidth="1"/>
  </cols>
  <sheetData>
    <row r="1" ht="18"/>
    <row r="2" spans="1:3" ht="18">
      <c r="A2" s="444" t="s">
        <v>155</v>
      </c>
      <c r="B2" s="444"/>
      <c r="C2" s="444"/>
    </row>
    <row r="3" spans="1:5" ht="18.75">
      <c r="A3" s="507" t="s">
        <v>156</v>
      </c>
      <c r="B3" s="507"/>
      <c r="C3" s="448"/>
      <c r="D3" s="449"/>
      <c r="E3" s="448"/>
    </row>
    <row r="4" spans="1:5" ht="18.75">
      <c r="A4" s="450"/>
      <c r="B4" s="451"/>
      <c r="C4" s="508" t="s">
        <v>157</v>
      </c>
      <c r="D4" s="508"/>
      <c r="E4" s="508"/>
    </row>
    <row r="5" spans="1:5" ht="15">
      <c r="A5" s="452"/>
      <c r="B5" s="451"/>
      <c r="C5" s="453"/>
      <c r="D5" s="454"/>
      <c r="E5" s="453"/>
    </row>
    <row r="6" spans="1:5" ht="15">
      <c r="A6" s="455"/>
      <c r="B6" s="456" t="s">
        <v>158</v>
      </c>
      <c r="C6" s="509" t="s">
        <v>159</v>
      </c>
      <c r="D6" s="509"/>
      <c r="E6" s="509"/>
    </row>
    <row r="7" spans="1:5" ht="15">
      <c r="A7" s="510" t="s">
        <v>160</v>
      </c>
      <c r="B7" s="510"/>
      <c r="C7" s="510"/>
      <c r="D7" s="510"/>
      <c r="E7" s="510"/>
    </row>
    <row r="8" spans="1:5" ht="18.75">
      <c r="A8" s="457" t="s">
        <v>161</v>
      </c>
      <c r="B8" s="458" t="s">
        <v>162</v>
      </c>
      <c r="C8" s="458" t="s">
        <v>163</v>
      </c>
      <c r="D8" s="458" t="s">
        <v>164</v>
      </c>
      <c r="E8" s="459" t="s">
        <v>165</v>
      </c>
    </row>
    <row r="9" spans="1:5" ht="15.4" customHeight="1">
      <c r="A9" s="460"/>
      <c r="B9" s="505" t="s">
        <v>166</v>
      </c>
      <c r="C9" s="506"/>
      <c r="D9" s="461"/>
      <c r="E9" s="462"/>
    </row>
    <row r="10" spans="1:5" ht="15.4" customHeight="1">
      <c r="A10" s="460">
        <v>1</v>
      </c>
      <c r="B10" s="463" t="s">
        <v>167</v>
      </c>
      <c r="C10" s="464" t="s">
        <v>168</v>
      </c>
      <c r="D10" s="461" t="s">
        <v>169</v>
      </c>
      <c r="E10" s="465" t="s">
        <v>170</v>
      </c>
    </row>
    <row r="11" spans="1:5" ht="15.4" customHeight="1">
      <c r="A11" s="460">
        <v>2</v>
      </c>
      <c r="B11" s="463" t="s">
        <v>171</v>
      </c>
      <c r="C11" s="464" t="s">
        <v>172</v>
      </c>
      <c r="D11" s="461" t="s">
        <v>169</v>
      </c>
      <c r="E11" s="465" t="s">
        <v>170</v>
      </c>
    </row>
    <row r="12" spans="1:5" ht="15.4" customHeight="1">
      <c r="A12" s="460">
        <v>3</v>
      </c>
      <c r="B12" s="463" t="s">
        <v>91</v>
      </c>
      <c r="C12" s="464" t="s">
        <v>173</v>
      </c>
      <c r="D12" s="461" t="s">
        <v>169</v>
      </c>
      <c r="E12" s="465" t="s">
        <v>170</v>
      </c>
    </row>
    <row r="13" spans="1:5" ht="15.4" customHeight="1">
      <c r="A13" s="460">
        <v>4</v>
      </c>
      <c r="B13" s="463" t="s">
        <v>174</v>
      </c>
      <c r="C13" s="464" t="s">
        <v>96</v>
      </c>
      <c r="D13" s="461" t="s">
        <v>169</v>
      </c>
      <c r="E13" s="465" t="s">
        <v>170</v>
      </c>
    </row>
    <row r="14" spans="1:5" ht="15.4" customHeight="1">
      <c r="A14" s="460">
        <v>5</v>
      </c>
      <c r="B14" s="463" t="s">
        <v>175</v>
      </c>
      <c r="C14" s="464" t="s">
        <v>176</v>
      </c>
      <c r="D14" s="461" t="s">
        <v>169</v>
      </c>
      <c r="E14" s="465" t="s">
        <v>170</v>
      </c>
    </row>
    <row r="15" spans="1:5" ht="15.4" customHeight="1">
      <c r="A15" s="460">
        <v>6</v>
      </c>
      <c r="B15" s="463" t="s">
        <v>177</v>
      </c>
      <c r="C15" s="464" t="s">
        <v>103</v>
      </c>
      <c r="D15" s="461" t="s">
        <v>169</v>
      </c>
      <c r="E15" s="465" t="s">
        <v>170</v>
      </c>
    </row>
    <row r="16" spans="1:5" ht="15.4" customHeight="1">
      <c r="A16" s="460"/>
      <c r="B16" s="505" t="s">
        <v>178</v>
      </c>
      <c r="C16" s="506"/>
      <c r="D16" s="461"/>
      <c r="E16" s="465"/>
    </row>
    <row r="17" spans="1:5" ht="15.4" customHeight="1">
      <c r="A17" s="460">
        <v>1</v>
      </c>
      <c r="B17" s="466" t="s">
        <v>179</v>
      </c>
      <c r="C17" s="464"/>
      <c r="D17" s="461" t="s">
        <v>169</v>
      </c>
      <c r="E17" s="465" t="s">
        <v>180</v>
      </c>
    </row>
    <row r="18" spans="1:5" ht="15.4" customHeight="1">
      <c r="A18" s="467">
        <v>2</v>
      </c>
      <c r="B18" s="463"/>
      <c r="C18" s="468" t="s">
        <v>181</v>
      </c>
      <c r="D18" s="461" t="s">
        <v>169</v>
      </c>
      <c r="E18" s="465" t="s">
        <v>180</v>
      </c>
    </row>
    <row r="19" spans="1:5" ht="15.4" customHeight="1">
      <c r="A19" s="460">
        <v>3</v>
      </c>
      <c r="B19" s="463"/>
      <c r="C19" s="468"/>
      <c r="D19" s="461" t="s">
        <v>169</v>
      </c>
      <c r="E19" s="465" t="s">
        <v>180</v>
      </c>
    </row>
    <row r="20" spans="1:5" ht="15.4" customHeight="1">
      <c r="A20" s="460">
        <v>4</v>
      </c>
      <c r="B20" s="463"/>
      <c r="C20" s="468"/>
      <c r="D20" s="461" t="s">
        <v>169</v>
      </c>
      <c r="E20" s="465" t="s">
        <v>180</v>
      </c>
    </row>
    <row r="21" spans="1:5" ht="15.4" customHeight="1">
      <c r="A21" s="460"/>
      <c r="B21" s="463"/>
      <c r="C21" s="468"/>
      <c r="D21" s="461"/>
      <c r="E21" s="465"/>
    </row>
    <row r="22" spans="1:5" ht="15.4" customHeight="1">
      <c r="A22" s="460"/>
      <c r="B22" s="505" t="s">
        <v>182</v>
      </c>
      <c r="C22" s="506"/>
      <c r="D22" s="461"/>
      <c r="E22" s="465"/>
    </row>
    <row r="23" spans="1:5" ht="15.4" customHeight="1">
      <c r="A23" s="469">
        <v>1</v>
      </c>
      <c r="B23" s="468" t="s">
        <v>183</v>
      </c>
      <c r="C23" s="468" t="s">
        <v>184</v>
      </c>
      <c r="D23" s="470" t="s">
        <v>185</v>
      </c>
      <c r="E23" s="471" t="s">
        <v>186</v>
      </c>
    </row>
    <row r="24" spans="1:5" ht="15.4" customHeight="1">
      <c r="A24" s="460">
        <v>2</v>
      </c>
      <c r="B24" s="464" t="s">
        <v>187</v>
      </c>
      <c r="C24" s="464" t="s">
        <v>188</v>
      </c>
      <c r="D24" s="470" t="s">
        <v>185</v>
      </c>
      <c r="E24" s="471" t="s">
        <v>186</v>
      </c>
    </row>
    <row r="25" spans="1:5" ht="15.4" customHeight="1">
      <c r="A25" s="469">
        <v>3</v>
      </c>
      <c r="B25" s="472" t="s">
        <v>189</v>
      </c>
      <c r="C25" s="473" t="s">
        <v>190</v>
      </c>
      <c r="D25" s="470" t="s">
        <v>185</v>
      </c>
      <c r="E25" s="471" t="s">
        <v>186</v>
      </c>
    </row>
    <row r="26" spans="1:5" ht="15.4" customHeight="1">
      <c r="A26" s="460">
        <v>4</v>
      </c>
      <c r="B26" s="472" t="s">
        <v>191</v>
      </c>
      <c r="C26" s="473" t="s">
        <v>192</v>
      </c>
      <c r="D26" s="470" t="s">
        <v>185</v>
      </c>
      <c r="E26" s="471" t="s">
        <v>186</v>
      </c>
    </row>
    <row r="27" spans="1:5" ht="15.4" customHeight="1">
      <c r="A27" s="469">
        <v>5</v>
      </c>
      <c r="B27" s="472" t="s">
        <v>193</v>
      </c>
      <c r="C27" s="473" t="s">
        <v>194</v>
      </c>
      <c r="D27" s="470" t="s">
        <v>185</v>
      </c>
      <c r="E27" s="471" t="s">
        <v>186</v>
      </c>
    </row>
    <row r="28" spans="1:5" ht="15.4" customHeight="1">
      <c r="A28" s="460">
        <v>6</v>
      </c>
      <c r="B28" s="472" t="s">
        <v>195</v>
      </c>
      <c r="C28" s="473" t="s">
        <v>196</v>
      </c>
      <c r="D28" s="470" t="s">
        <v>185</v>
      </c>
      <c r="E28" s="471" t="s">
        <v>186</v>
      </c>
    </row>
    <row r="29" spans="1:5" ht="15.4" customHeight="1">
      <c r="A29" s="469">
        <v>7</v>
      </c>
      <c r="B29" s="472" t="s">
        <v>197</v>
      </c>
      <c r="C29" s="473" t="s">
        <v>198</v>
      </c>
      <c r="D29" s="470" t="s">
        <v>185</v>
      </c>
      <c r="E29" s="471" t="s">
        <v>186</v>
      </c>
    </row>
    <row r="30" spans="1:5" ht="15.4" customHeight="1">
      <c r="A30" s="460"/>
      <c r="B30" s="505" t="s">
        <v>199</v>
      </c>
      <c r="C30" s="506"/>
      <c r="D30" s="461"/>
      <c r="E30" s="465"/>
    </row>
    <row r="31" spans="1:5" ht="15.4" customHeight="1">
      <c r="A31" s="460">
        <v>1</v>
      </c>
      <c r="B31" s="474" t="s">
        <v>200</v>
      </c>
      <c r="C31" s="475"/>
      <c r="D31" s="461" t="s">
        <v>169</v>
      </c>
      <c r="E31" s="465" t="s">
        <v>201</v>
      </c>
    </row>
    <row r="32" spans="1:5" ht="15.4" customHeight="1">
      <c r="A32" s="460">
        <v>2</v>
      </c>
      <c r="B32" s="474"/>
      <c r="C32" s="475" t="s">
        <v>122</v>
      </c>
      <c r="D32" s="461" t="s">
        <v>169</v>
      </c>
      <c r="E32" s="465" t="s">
        <v>201</v>
      </c>
    </row>
    <row r="33" spans="1:5" ht="15.4" customHeight="1">
      <c r="A33" s="460">
        <v>3</v>
      </c>
      <c r="B33" s="474" t="s">
        <v>202</v>
      </c>
      <c r="C33" s="475"/>
      <c r="D33" s="461" t="s">
        <v>169</v>
      </c>
      <c r="E33" s="465" t="s">
        <v>203</v>
      </c>
    </row>
    <row r="34" spans="1:5" ht="15.4" customHeight="1">
      <c r="A34" s="460">
        <v>4</v>
      </c>
      <c r="B34" s="474"/>
      <c r="C34" s="475" t="s">
        <v>123</v>
      </c>
      <c r="D34" s="461" t="s">
        <v>169</v>
      </c>
      <c r="E34" s="465" t="s">
        <v>203</v>
      </c>
    </row>
    <row r="35" spans="1:5" ht="15.4" customHeight="1">
      <c r="A35" s="460">
        <v>5</v>
      </c>
      <c r="B35" s="474" t="s">
        <v>204</v>
      </c>
      <c r="C35" s="475"/>
      <c r="D35" s="461" t="s">
        <v>169</v>
      </c>
      <c r="E35" s="465" t="s">
        <v>203</v>
      </c>
    </row>
    <row r="36" spans="1:5" ht="15.4" customHeight="1">
      <c r="A36" s="460">
        <v>6</v>
      </c>
      <c r="B36" s="474"/>
      <c r="C36" s="475" t="s">
        <v>124</v>
      </c>
      <c r="D36" s="461" t="s">
        <v>169</v>
      </c>
      <c r="E36" s="465" t="s">
        <v>203</v>
      </c>
    </row>
    <row r="37" spans="1:5" ht="15.4" customHeight="1">
      <c r="A37" s="460">
        <v>7</v>
      </c>
      <c r="B37" s="474" t="s">
        <v>205</v>
      </c>
      <c r="C37" s="475" t="s">
        <v>206</v>
      </c>
      <c r="D37" s="461" t="s">
        <v>169</v>
      </c>
      <c r="E37" s="465" t="s">
        <v>203</v>
      </c>
    </row>
    <row r="38" spans="1:5" ht="15.4" customHeight="1">
      <c r="A38" s="460">
        <v>8</v>
      </c>
      <c r="B38" s="475"/>
      <c r="C38" s="474" t="s">
        <v>125</v>
      </c>
      <c r="D38" s="461" t="s">
        <v>169</v>
      </c>
      <c r="E38" s="465" t="s">
        <v>203</v>
      </c>
    </row>
    <row r="39" spans="1:5" ht="15.4" customHeight="1">
      <c r="A39" s="460"/>
      <c r="B39" s="475"/>
      <c r="C39" s="474"/>
      <c r="D39" s="461"/>
      <c r="E39" s="465"/>
    </row>
    <row r="40" spans="1:5" ht="15.4" customHeight="1">
      <c r="A40" s="460"/>
      <c r="B40" s="505" t="s">
        <v>207</v>
      </c>
      <c r="C40" s="506"/>
      <c r="D40" s="461"/>
      <c r="E40" s="465"/>
    </row>
    <row r="41" spans="1:5" ht="15.4" customHeight="1">
      <c r="A41" s="460">
        <v>1</v>
      </c>
      <c r="B41" s="464" t="s">
        <v>208</v>
      </c>
      <c r="C41" s="476" t="s">
        <v>209</v>
      </c>
      <c r="D41" s="477" t="s">
        <v>185</v>
      </c>
      <c r="E41" s="478" t="s">
        <v>186</v>
      </c>
    </row>
    <row r="42" spans="1:5" ht="15.4" customHeight="1">
      <c r="A42" s="460">
        <v>2</v>
      </c>
      <c r="B42" s="464" t="s">
        <v>286</v>
      </c>
      <c r="C42" s="479" t="s">
        <v>210</v>
      </c>
      <c r="D42" s="477" t="s">
        <v>185</v>
      </c>
      <c r="E42" s="480" t="s">
        <v>180</v>
      </c>
    </row>
    <row r="43" spans="1:5" ht="15.4" customHeight="1">
      <c r="A43" s="460">
        <v>3</v>
      </c>
      <c r="B43" s="468" t="s">
        <v>211</v>
      </c>
      <c r="C43" s="481" t="s">
        <v>212</v>
      </c>
      <c r="D43" s="477" t="s">
        <v>185</v>
      </c>
      <c r="E43" s="480" t="s">
        <v>180</v>
      </c>
    </row>
    <row r="44" spans="1:5" ht="15.4" customHeight="1">
      <c r="A44" s="460">
        <v>4</v>
      </c>
      <c r="B44" s="468" t="s">
        <v>213</v>
      </c>
      <c r="C44" s="481" t="s">
        <v>214</v>
      </c>
      <c r="D44" s="477" t="s">
        <v>185</v>
      </c>
      <c r="E44" s="480" t="s">
        <v>180</v>
      </c>
    </row>
    <row r="45" spans="1:5" ht="15.4" customHeight="1">
      <c r="A45" s="460">
        <v>5</v>
      </c>
      <c r="B45" s="468" t="s">
        <v>215</v>
      </c>
      <c r="C45" s="481" t="s">
        <v>216</v>
      </c>
      <c r="D45" s="477" t="s">
        <v>185</v>
      </c>
      <c r="E45" s="480" t="s">
        <v>180</v>
      </c>
    </row>
    <row r="46" spans="1:5" ht="15.4" customHeight="1">
      <c r="A46" s="447"/>
      <c r="B46" s="505" t="s">
        <v>217</v>
      </c>
      <c r="C46" s="506"/>
      <c r="D46" s="461"/>
      <c r="E46" s="465"/>
    </row>
    <row r="47" spans="1:5" ht="15.4" customHeight="1">
      <c r="A47" s="482">
        <v>1</v>
      </c>
      <c r="B47" s="464" t="s">
        <v>218</v>
      </c>
      <c r="C47" s="464"/>
      <c r="D47" s="461" t="s">
        <v>169</v>
      </c>
      <c r="E47" s="465" t="s">
        <v>219</v>
      </c>
    </row>
    <row r="48" spans="1:5" ht="15.4" customHeight="1">
      <c r="A48" s="483">
        <v>2</v>
      </c>
      <c r="B48" s="473"/>
      <c r="C48" s="473" t="s">
        <v>126</v>
      </c>
      <c r="D48" s="461" t="s">
        <v>169</v>
      </c>
      <c r="E48" s="465" t="s">
        <v>219</v>
      </c>
    </row>
    <row r="49" spans="1:5" ht="15.4" customHeight="1">
      <c r="A49" s="483">
        <v>3</v>
      </c>
      <c r="B49" s="473" t="s">
        <v>127</v>
      </c>
      <c r="C49" s="473" t="s">
        <v>220</v>
      </c>
      <c r="D49" s="461" t="s">
        <v>169</v>
      </c>
      <c r="E49" s="465" t="s">
        <v>219</v>
      </c>
    </row>
    <row r="50" spans="1:5" ht="15.4" customHeight="1">
      <c r="A50" s="482">
        <v>4</v>
      </c>
      <c r="B50" s="464"/>
      <c r="C50" s="476" t="s">
        <v>128</v>
      </c>
      <c r="D50" s="461" t="s">
        <v>169</v>
      </c>
      <c r="E50" s="465" t="s">
        <v>219</v>
      </c>
    </row>
    <row r="51" spans="1:5" ht="15.4" customHeight="1">
      <c r="A51" s="483">
        <v>5</v>
      </c>
      <c r="B51" s="473" t="s">
        <v>221</v>
      </c>
      <c r="C51" s="473" t="s">
        <v>222</v>
      </c>
      <c r="D51" s="461" t="s">
        <v>169</v>
      </c>
      <c r="E51" s="465" t="s">
        <v>219</v>
      </c>
    </row>
    <row r="52" spans="1:5" ht="15.4" customHeight="1">
      <c r="A52" s="483">
        <v>6</v>
      </c>
      <c r="B52" s="473"/>
      <c r="C52" s="473" t="s">
        <v>129</v>
      </c>
      <c r="D52" s="461" t="s">
        <v>169</v>
      </c>
      <c r="E52" s="465" t="s">
        <v>219</v>
      </c>
    </row>
    <row r="53" spans="1:5" ht="15.4" customHeight="1">
      <c r="A53" s="482">
        <v>7</v>
      </c>
      <c r="B53" s="473" t="s">
        <v>223</v>
      </c>
      <c r="C53" s="473"/>
      <c r="D53" s="461" t="s">
        <v>169</v>
      </c>
      <c r="E53" s="465" t="s">
        <v>219</v>
      </c>
    </row>
    <row r="54" spans="1:5" ht="15.4" customHeight="1">
      <c r="A54" s="483">
        <v>8</v>
      </c>
      <c r="B54" s="479" t="s">
        <v>130</v>
      </c>
      <c r="C54" s="484" t="s">
        <v>224</v>
      </c>
      <c r="D54" s="461" t="s">
        <v>169</v>
      </c>
      <c r="E54" s="465" t="s">
        <v>219</v>
      </c>
    </row>
    <row r="55" spans="1:5" ht="15.4" customHeight="1">
      <c r="A55" s="483"/>
      <c r="B55" s="479"/>
      <c r="C55" s="484"/>
      <c r="D55" s="461"/>
      <c r="E55" s="485"/>
    </row>
    <row r="56" spans="1:5" ht="15.4" customHeight="1">
      <c r="A56" s="483"/>
      <c r="B56" s="505" t="s">
        <v>225</v>
      </c>
      <c r="C56" s="506"/>
      <c r="D56" s="461"/>
      <c r="E56" s="485"/>
    </row>
    <row r="57" spans="1:5" ht="15.4" customHeight="1">
      <c r="A57" s="460">
        <v>1</v>
      </c>
      <c r="B57" s="486" t="s">
        <v>226</v>
      </c>
      <c r="C57" s="486" t="s">
        <v>227</v>
      </c>
      <c r="D57" s="487" t="s">
        <v>185</v>
      </c>
      <c r="E57" s="480" t="s">
        <v>228</v>
      </c>
    </row>
    <row r="58" spans="1:5" ht="15.4" customHeight="1">
      <c r="A58" s="460">
        <v>2</v>
      </c>
      <c r="B58" s="464" t="s">
        <v>229</v>
      </c>
      <c r="C58" s="464" t="s">
        <v>230</v>
      </c>
      <c r="D58" s="487" t="s">
        <v>185</v>
      </c>
      <c r="E58" s="480" t="s">
        <v>228</v>
      </c>
    </row>
    <row r="59" spans="1:5" ht="15.4" customHeight="1">
      <c r="A59" s="460">
        <v>3</v>
      </c>
      <c r="B59" s="464" t="s">
        <v>118</v>
      </c>
      <c r="C59" s="488" t="s">
        <v>231</v>
      </c>
      <c r="D59" s="487" t="s">
        <v>185</v>
      </c>
      <c r="E59" s="480" t="s">
        <v>228</v>
      </c>
    </row>
    <row r="60" spans="1:5" ht="15.4" customHeight="1">
      <c r="A60" s="460"/>
      <c r="B60" s="505" t="s">
        <v>232</v>
      </c>
      <c r="C60" s="506"/>
      <c r="D60" s="489"/>
      <c r="E60" s="465"/>
    </row>
    <row r="61" spans="1:5" ht="15.4" customHeight="1">
      <c r="A61" s="460">
        <v>1</v>
      </c>
      <c r="B61" s="466" t="s">
        <v>233</v>
      </c>
      <c r="C61" s="464"/>
      <c r="D61" s="461" t="s">
        <v>169</v>
      </c>
      <c r="E61" s="465" t="s">
        <v>234</v>
      </c>
    </row>
    <row r="62" spans="1:5" ht="15.4" customHeight="1">
      <c r="A62" s="460">
        <v>2</v>
      </c>
      <c r="B62" s="466" t="s">
        <v>132</v>
      </c>
      <c r="C62" s="464" t="s">
        <v>133</v>
      </c>
      <c r="D62" s="461" t="s">
        <v>169</v>
      </c>
      <c r="E62" s="465" t="s">
        <v>234</v>
      </c>
    </row>
    <row r="63" spans="1:5" ht="15.4" customHeight="1">
      <c r="A63" s="460">
        <v>3</v>
      </c>
      <c r="B63" s="466" t="s">
        <v>235</v>
      </c>
      <c r="C63" s="464"/>
      <c r="D63" s="461" t="s">
        <v>169</v>
      </c>
      <c r="E63" s="465" t="s">
        <v>234</v>
      </c>
    </row>
    <row r="64" spans="1:5" ht="15.4" customHeight="1">
      <c r="A64" s="460">
        <v>4</v>
      </c>
      <c r="B64" s="466" t="s">
        <v>236</v>
      </c>
      <c r="C64" s="464" t="s">
        <v>237</v>
      </c>
      <c r="D64" s="461" t="s">
        <v>169</v>
      </c>
      <c r="E64" s="465" t="s">
        <v>234</v>
      </c>
    </row>
    <row r="65" spans="1:5" ht="15.4" customHeight="1">
      <c r="A65" s="460">
        <v>5</v>
      </c>
      <c r="B65" s="466" t="s">
        <v>238</v>
      </c>
      <c r="C65" s="464"/>
      <c r="D65" s="461" t="s">
        <v>169</v>
      </c>
      <c r="E65" s="465" t="s">
        <v>234</v>
      </c>
    </row>
    <row r="66" spans="1:5" ht="15.4" customHeight="1">
      <c r="A66" s="460">
        <v>6</v>
      </c>
      <c r="B66" s="466" t="s">
        <v>239</v>
      </c>
      <c r="C66" s="464" t="s">
        <v>240</v>
      </c>
      <c r="D66" s="461" t="s">
        <v>169</v>
      </c>
      <c r="E66" s="465" t="s">
        <v>234</v>
      </c>
    </row>
    <row r="67" spans="1:5" ht="15.4" customHeight="1">
      <c r="A67" s="460">
        <v>7</v>
      </c>
      <c r="B67" s="466" t="s">
        <v>241</v>
      </c>
      <c r="C67" s="464" t="s">
        <v>242</v>
      </c>
      <c r="D67" s="461" t="s">
        <v>169</v>
      </c>
      <c r="E67" s="465" t="s">
        <v>234</v>
      </c>
    </row>
    <row r="68" spans="1:5" ht="15.4" customHeight="1">
      <c r="A68" s="460">
        <v>8</v>
      </c>
      <c r="B68" s="466" t="s">
        <v>243</v>
      </c>
      <c r="C68" s="464" t="s">
        <v>244</v>
      </c>
      <c r="D68" s="461" t="s">
        <v>169</v>
      </c>
      <c r="E68" s="465" t="s">
        <v>234</v>
      </c>
    </row>
    <row r="69" spans="1:5" ht="15.4" customHeight="1">
      <c r="A69" s="460"/>
      <c r="B69" s="464"/>
      <c r="C69" s="464"/>
      <c r="D69" s="461"/>
      <c r="E69" s="465"/>
    </row>
    <row r="70" spans="1:5" ht="15.4" customHeight="1">
      <c r="A70" s="460"/>
      <c r="B70" s="505" t="s">
        <v>245</v>
      </c>
      <c r="C70" s="506"/>
      <c r="D70" s="461"/>
      <c r="E70" s="465"/>
    </row>
    <row r="71" spans="1:5" ht="15.4" customHeight="1">
      <c r="A71" s="460">
        <v>1</v>
      </c>
      <c r="B71" s="464" t="s">
        <v>246</v>
      </c>
      <c r="C71" s="464" t="s">
        <v>247</v>
      </c>
      <c r="D71" s="461" t="s">
        <v>169</v>
      </c>
      <c r="E71" s="465" t="s">
        <v>170</v>
      </c>
    </row>
    <row r="72" spans="1:5" ht="15.4" customHeight="1">
      <c r="A72" s="460">
        <v>2</v>
      </c>
      <c r="B72" s="464" t="s">
        <v>249</v>
      </c>
      <c r="C72" s="476" t="s">
        <v>285</v>
      </c>
      <c r="D72" s="461" t="s">
        <v>169</v>
      </c>
      <c r="E72" s="465" t="s">
        <v>170</v>
      </c>
    </row>
    <row r="73" spans="1:5" ht="15.4" customHeight="1">
      <c r="A73" s="503"/>
      <c r="B73" s="513" t="s">
        <v>248</v>
      </c>
      <c r="C73" s="514"/>
      <c r="D73" s="461"/>
      <c r="E73" s="465"/>
    </row>
    <row r="74" spans="1:5" ht="15.4" customHeight="1">
      <c r="A74" s="503"/>
      <c r="B74" s="464" t="s">
        <v>246</v>
      </c>
      <c r="C74" s="464" t="s">
        <v>249</v>
      </c>
      <c r="D74" s="461" t="s">
        <v>169</v>
      </c>
      <c r="E74" s="465" t="s">
        <v>180</v>
      </c>
    </row>
    <row r="75" spans="1:5" ht="15.4" customHeight="1">
      <c r="A75" s="460">
        <v>2</v>
      </c>
      <c r="B75" s="447" t="s">
        <v>247</v>
      </c>
      <c r="C75" s="504" t="s">
        <v>285</v>
      </c>
      <c r="D75" s="461" t="s">
        <v>169</v>
      </c>
      <c r="E75" s="465" t="s">
        <v>180</v>
      </c>
    </row>
    <row r="76" spans="1:5" ht="15.4" customHeight="1">
      <c r="A76" s="460"/>
      <c r="B76" s="513" t="s">
        <v>250</v>
      </c>
      <c r="C76" s="514"/>
      <c r="D76" s="461"/>
      <c r="E76" s="465"/>
    </row>
    <row r="77" spans="1:5" ht="15.4" customHeight="1">
      <c r="A77" s="460">
        <v>2</v>
      </c>
      <c r="B77" s="488" t="s">
        <v>246</v>
      </c>
      <c r="C77" s="488" t="s">
        <v>285</v>
      </c>
      <c r="D77" s="461" t="s">
        <v>251</v>
      </c>
      <c r="E77" s="465"/>
    </row>
    <row r="78" spans="1:5" ht="15.4" customHeight="1">
      <c r="A78" s="460"/>
      <c r="B78" s="464" t="s">
        <v>249</v>
      </c>
      <c r="C78" s="464" t="s">
        <v>247</v>
      </c>
      <c r="D78" s="461" t="s">
        <v>251</v>
      </c>
      <c r="E78" s="465"/>
    </row>
    <row r="79" spans="1:5" ht="15.4" customHeight="1">
      <c r="A79" s="460"/>
      <c r="B79" s="511" t="s">
        <v>252</v>
      </c>
      <c r="C79" s="512"/>
      <c r="D79" s="461"/>
      <c r="E79" s="465"/>
    </row>
    <row r="80" spans="1:5" ht="15.4" customHeight="1">
      <c r="A80" s="460">
        <v>1</v>
      </c>
      <c r="B80" s="464" t="s">
        <v>253</v>
      </c>
      <c r="C80" s="464" t="s">
        <v>254</v>
      </c>
      <c r="D80" s="490" t="s">
        <v>185</v>
      </c>
      <c r="E80" s="480" t="s">
        <v>228</v>
      </c>
    </row>
    <row r="81" spans="1:5" ht="15.4" customHeight="1">
      <c r="A81" s="460"/>
      <c r="B81" s="511" t="s">
        <v>255</v>
      </c>
      <c r="C81" s="512"/>
      <c r="D81" s="461"/>
      <c r="E81" s="465"/>
    </row>
    <row r="82" spans="1:5" ht="15.4" customHeight="1">
      <c r="A82" s="460">
        <v>1</v>
      </c>
      <c r="B82" s="464" t="s">
        <v>256</v>
      </c>
      <c r="C82" s="464"/>
      <c r="D82" s="461" t="s">
        <v>169</v>
      </c>
      <c r="E82" s="465" t="s">
        <v>180</v>
      </c>
    </row>
    <row r="83" spans="1:5" ht="15.4" customHeight="1">
      <c r="A83" s="460">
        <v>2</v>
      </c>
      <c r="B83" s="464" t="s">
        <v>257</v>
      </c>
      <c r="C83" s="464" t="s">
        <v>258</v>
      </c>
      <c r="D83" s="461" t="s">
        <v>169</v>
      </c>
      <c r="E83" s="465" t="s">
        <v>259</v>
      </c>
    </row>
    <row r="84" spans="1:5" ht="15.4" customHeight="1">
      <c r="A84" s="460"/>
      <c r="B84" s="464"/>
      <c r="C84" s="464"/>
      <c r="D84" s="461"/>
      <c r="E84" s="465"/>
    </row>
    <row r="85" spans="1:5" ht="15.4" customHeight="1">
      <c r="A85" s="460"/>
      <c r="B85" s="511" t="s">
        <v>260</v>
      </c>
      <c r="C85" s="512"/>
      <c r="D85" s="461"/>
      <c r="E85" s="465"/>
    </row>
    <row r="86" spans="1:5" ht="15.4" customHeight="1">
      <c r="A86" s="460">
        <v>1</v>
      </c>
      <c r="B86" s="484" t="s">
        <v>261</v>
      </c>
      <c r="C86" s="484" t="s">
        <v>262</v>
      </c>
      <c r="D86" s="490" t="s">
        <v>185</v>
      </c>
      <c r="E86" s="480" t="s">
        <v>263</v>
      </c>
    </row>
    <row r="87" spans="1:5" ht="15.4" customHeight="1">
      <c r="A87" s="460">
        <v>2</v>
      </c>
      <c r="B87" s="484" t="s">
        <v>264</v>
      </c>
      <c r="C87" s="484" t="s">
        <v>265</v>
      </c>
      <c r="D87" s="490" t="s">
        <v>185</v>
      </c>
      <c r="E87" s="480" t="s">
        <v>263</v>
      </c>
    </row>
    <row r="88" spans="1:5" ht="15.4" customHeight="1">
      <c r="A88" s="460"/>
      <c r="B88" s="511" t="s">
        <v>266</v>
      </c>
      <c r="C88" s="512"/>
      <c r="D88" s="461"/>
      <c r="E88" s="465"/>
    </row>
    <row r="89" spans="1:5" ht="15.4" customHeight="1">
      <c r="A89" s="460">
        <v>1</v>
      </c>
      <c r="B89" s="484" t="s">
        <v>267</v>
      </c>
      <c r="C89" s="484"/>
      <c r="D89" s="461" t="s">
        <v>169</v>
      </c>
      <c r="E89" s="465" t="s">
        <v>201</v>
      </c>
    </row>
    <row r="90" spans="1:5" ht="15.4" customHeight="1">
      <c r="A90" s="483">
        <v>2</v>
      </c>
      <c r="B90" s="473" t="s">
        <v>268</v>
      </c>
      <c r="C90" s="473" t="s">
        <v>269</v>
      </c>
      <c r="D90" s="461" t="s">
        <v>169</v>
      </c>
      <c r="E90" s="465" t="s">
        <v>201</v>
      </c>
    </row>
    <row r="91" spans="1:5" ht="15.4" customHeight="1">
      <c r="A91" s="460">
        <v>3</v>
      </c>
      <c r="B91" s="464" t="s">
        <v>270</v>
      </c>
      <c r="C91" s="464"/>
      <c r="D91" s="461" t="s">
        <v>169</v>
      </c>
      <c r="E91" s="465" t="s">
        <v>201</v>
      </c>
    </row>
    <row r="92" spans="1:5" ht="15.4" customHeight="1">
      <c r="A92" s="460">
        <v>4</v>
      </c>
      <c r="B92" s="473" t="s">
        <v>271</v>
      </c>
      <c r="C92" s="473" t="s">
        <v>272</v>
      </c>
      <c r="D92" s="461" t="s">
        <v>169</v>
      </c>
      <c r="E92" s="465" t="s">
        <v>201</v>
      </c>
    </row>
    <row r="93" spans="1:6" ht="15.4" customHeight="1">
      <c r="A93" s="483"/>
      <c r="B93" s="474"/>
      <c r="C93" s="491"/>
      <c r="D93" s="461"/>
      <c r="E93" s="485"/>
      <c r="F93" s="492"/>
    </row>
    <row r="94" spans="1:6" ht="15.4" customHeight="1">
      <c r="A94" s="483"/>
      <c r="B94" s="511" t="s">
        <v>273</v>
      </c>
      <c r="C94" s="512"/>
      <c r="D94" s="461"/>
      <c r="E94" s="485"/>
      <c r="F94" s="492"/>
    </row>
    <row r="95" spans="1:6" ht="15.4" customHeight="1">
      <c r="A95" s="483">
        <v>1</v>
      </c>
      <c r="B95" s="472" t="s">
        <v>274</v>
      </c>
      <c r="C95" s="464" t="s">
        <v>275</v>
      </c>
      <c r="D95" s="461" t="s">
        <v>169</v>
      </c>
      <c r="E95" s="493" t="s">
        <v>276</v>
      </c>
      <c r="F95" s="492"/>
    </row>
    <row r="96" spans="1:6" ht="15.4" customHeight="1">
      <c r="A96" s="483"/>
      <c r="B96" s="511" t="s">
        <v>277</v>
      </c>
      <c r="C96" s="512"/>
      <c r="D96" s="461"/>
      <c r="E96" s="485"/>
      <c r="F96" s="492"/>
    </row>
    <row r="97" spans="1:6" ht="15.4" customHeight="1">
      <c r="A97" s="483">
        <v>1</v>
      </c>
      <c r="B97" s="472" t="s">
        <v>278</v>
      </c>
      <c r="C97" s="476"/>
      <c r="D97" s="461" t="s">
        <v>169</v>
      </c>
      <c r="E97" s="465" t="s">
        <v>180</v>
      </c>
      <c r="F97" s="492"/>
    </row>
    <row r="98" spans="1:5" ht="15.4" customHeight="1">
      <c r="A98" s="483">
        <v>2</v>
      </c>
      <c r="B98" s="476" t="s">
        <v>279</v>
      </c>
      <c r="C98" s="464" t="s">
        <v>280</v>
      </c>
      <c r="D98" s="461" t="s">
        <v>169</v>
      </c>
      <c r="E98" s="465" t="s">
        <v>180</v>
      </c>
    </row>
    <row r="99" spans="1:5" ht="15.4" customHeight="1">
      <c r="A99" s="483"/>
      <c r="B99" s="491"/>
      <c r="C99" s="494"/>
      <c r="D99" s="461"/>
      <c r="E99" s="495"/>
    </row>
    <row r="100" spans="1:5" ht="15.4" customHeight="1">
      <c r="A100" s="483"/>
      <c r="B100" s="515" t="s">
        <v>281</v>
      </c>
      <c r="C100" s="516"/>
      <c r="D100" s="461"/>
      <c r="E100" s="495"/>
    </row>
    <row r="101" spans="1:5" ht="15.4" customHeight="1">
      <c r="A101" s="483"/>
      <c r="B101" s="496" t="s">
        <v>282</v>
      </c>
      <c r="C101" s="496" t="s">
        <v>283</v>
      </c>
      <c r="D101" s="497" t="s">
        <v>169</v>
      </c>
      <c r="E101" s="485" t="s">
        <v>284</v>
      </c>
    </row>
    <row r="102" spans="1:5" ht="15.4" customHeight="1">
      <c r="A102" s="498"/>
      <c r="B102" s="499"/>
      <c r="C102" s="500"/>
      <c r="D102" s="517"/>
      <c r="E102" s="517"/>
    </row>
    <row r="103" spans="1:5" ht="15.4" customHeight="1">
      <c r="A103" s="501"/>
      <c r="B103" s="501"/>
      <c r="C103" s="501"/>
      <c r="D103" s="502"/>
      <c r="E103" s="501"/>
    </row>
  </sheetData>
  <mergeCells count="23">
    <mergeCell ref="B88:C88"/>
    <mergeCell ref="B94:C94"/>
    <mergeCell ref="B96:C96"/>
    <mergeCell ref="B100:C100"/>
    <mergeCell ref="D102:E102"/>
    <mergeCell ref="B85:C85"/>
    <mergeCell ref="B22:C22"/>
    <mergeCell ref="B30:C30"/>
    <mergeCell ref="B40:C40"/>
    <mergeCell ref="B46:C46"/>
    <mergeCell ref="B56:C56"/>
    <mergeCell ref="B60:C60"/>
    <mergeCell ref="B70:C70"/>
    <mergeCell ref="B73:C73"/>
    <mergeCell ref="B76:C76"/>
    <mergeCell ref="B79:C79"/>
    <mergeCell ref="B81:C81"/>
    <mergeCell ref="B16:C16"/>
    <mergeCell ref="A3:B3"/>
    <mergeCell ref="C4:E4"/>
    <mergeCell ref="C6:E6"/>
    <mergeCell ref="A7:E7"/>
    <mergeCell ref="B9:C9"/>
  </mergeCells>
  <printOptions/>
  <pageMargins left="0.3937007874015748" right="0.3937007874015748" top="0.3937007874015748" bottom="0" header="0" footer="0"/>
  <pageSetup horizontalDpi="300" verticalDpi="300" orientation="portrait" scale="94"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9"/>
  <sheetViews>
    <sheetView showGridLines="0" showZeros="0" workbookViewId="0" topLeftCell="A9">
      <selection activeCell="L37" sqref="L37"/>
    </sheetView>
  </sheetViews>
  <sheetFormatPr defaultColWidth="9.140625" defaultRowHeight="15"/>
  <cols>
    <col min="1" max="1" width="3.140625" style="173" customWidth="1"/>
    <col min="2" max="2" width="3.57421875" style="173" customWidth="1"/>
    <col min="3" max="3" width="5.00390625" style="173" customWidth="1"/>
    <col min="4" max="4" width="4.28125" style="173" customWidth="1"/>
    <col min="5" max="5" width="12.7109375" style="173" customWidth="1"/>
    <col min="6" max="6" width="2.7109375" style="173" customWidth="1"/>
    <col min="7" max="7" width="7.7109375" style="173" customWidth="1"/>
    <col min="8" max="8" width="5.8515625" style="173" customWidth="1"/>
    <col min="9" max="9" width="2.7109375" style="365" customWidth="1"/>
    <col min="10" max="10" width="10.7109375" style="173" customWidth="1"/>
    <col min="11" max="11" width="2.421875" style="365" customWidth="1"/>
    <col min="12" max="12" width="10.7109375" style="173" customWidth="1"/>
    <col min="13" max="13" width="1.7109375" style="366" customWidth="1"/>
    <col min="14" max="14" width="10.7109375" style="173" customWidth="1"/>
    <col min="15" max="15" width="1.7109375" style="365" customWidth="1"/>
    <col min="16" max="16" width="10.7109375" style="173" customWidth="1"/>
    <col min="17" max="17" width="3.421875" style="366" customWidth="1"/>
    <col min="18" max="18" width="7.8515625" style="173" customWidth="1"/>
    <col min="19" max="19" width="0.71875" style="173" hidden="1" customWidth="1"/>
    <col min="20" max="20" width="4.7109375" style="173" hidden="1" customWidth="1"/>
    <col min="21" max="21" width="7.7109375" style="167" customWidth="1"/>
    <col min="22" max="22" width="4.140625" style="367" customWidth="1"/>
    <col min="23" max="30" width="9.140625" style="367" customWidth="1"/>
    <col min="31" max="31" width="9.8515625" style="367" customWidth="1"/>
    <col min="32" max="32" width="9.140625" style="368" customWidth="1"/>
    <col min="33" max="33" width="14.57421875" style="367" customWidth="1"/>
    <col min="34" max="34" width="10.8515625" style="367" customWidth="1"/>
    <col min="35" max="35" width="9.140625" style="367" customWidth="1"/>
    <col min="36" max="36" width="9.57421875" style="367" customWidth="1"/>
    <col min="37" max="16384" width="9.140625" style="173" customWidth="1"/>
  </cols>
  <sheetData>
    <row r="1" spans="1:36" s="153" customFormat="1" ht="21.75" customHeight="1">
      <c r="A1" s="146" t="str">
        <f>'[1]vnos podatkov'!$A$6</f>
        <v>RVO - DRŽAVNO PRVENSTVO</v>
      </c>
      <c r="B1" s="147"/>
      <c r="C1" s="148"/>
      <c r="D1" s="148"/>
      <c r="E1" s="148"/>
      <c r="F1" s="148"/>
      <c r="G1" s="148"/>
      <c r="H1" s="146"/>
      <c r="I1" s="149"/>
      <c r="J1" s="150" t="s">
        <v>63</v>
      </c>
      <c r="K1" s="151"/>
      <c r="L1" s="152"/>
      <c r="M1" s="149"/>
      <c r="N1" s="149" t="s">
        <v>0</v>
      </c>
      <c r="O1" s="149"/>
      <c r="P1" s="148"/>
      <c r="Q1" s="149"/>
      <c r="U1" s="154"/>
      <c r="V1" s="155" t="str">
        <f>'[1]vnos podatkov'!$A$6</f>
        <v>RVO - DRŽAVNO PRVENSTVO</v>
      </c>
      <c r="W1" s="156"/>
      <c r="X1" s="156"/>
      <c r="Y1" s="156"/>
      <c r="Z1" s="156"/>
      <c r="AA1" s="156"/>
      <c r="AB1" s="156"/>
      <c r="AC1" s="156"/>
      <c r="AD1" s="156"/>
      <c r="AE1" s="156"/>
      <c r="AF1" s="157"/>
      <c r="AG1" s="156"/>
      <c r="AH1" s="156"/>
      <c r="AI1" s="156"/>
      <c r="AJ1" s="156"/>
    </row>
    <row r="2" spans="1:36" ht="15">
      <c r="A2" s="158">
        <f>'[1]vnos podatkov'!$A$8</f>
        <v>0</v>
      </c>
      <c r="B2" s="159" t="str">
        <f>'[1]vnos podatkov'!$B$8</f>
        <v>MŽ</v>
      </c>
      <c r="C2" s="160">
        <f>'[1]vnos podatkov'!$C$8</f>
        <v>0</v>
      </c>
      <c r="D2" s="159"/>
      <c r="E2" s="159"/>
      <c r="F2" s="161"/>
      <c r="G2" s="162"/>
      <c r="H2" s="162"/>
      <c r="I2" s="163"/>
      <c r="J2" s="164" t="s">
        <v>64</v>
      </c>
      <c r="K2" s="151"/>
      <c r="L2" s="165"/>
      <c r="M2" s="163"/>
      <c r="N2" s="162"/>
      <c r="O2" s="163"/>
      <c r="P2" s="162"/>
      <c r="Q2" s="163"/>
      <c r="R2" s="166"/>
      <c r="S2" s="166"/>
      <c r="T2" s="166"/>
      <c r="V2" s="168">
        <f>'[1]vnos podatkov'!$A$8</f>
        <v>0</v>
      </c>
      <c r="W2" s="169" t="str">
        <f>'[1]vnos podatkov'!$B$8</f>
        <v>MŽ</v>
      </c>
      <c r="X2" s="169">
        <f>'[1]vnos podatkov'!$C$8</f>
        <v>0</v>
      </c>
      <c r="Y2" s="170" t="str">
        <f>'[1]vnos podatkov'!$A$10</f>
        <v>13.-15.9.2019</v>
      </c>
      <c r="Z2" s="171"/>
      <c r="AA2" s="171"/>
      <c r="AB2" s="171"/>
      <c r="AC2" s="171"/>
      <c r="AD2" s="171"/>
      <c r="AE2" s="171"/>
      <c r="AF2" s="172"/>
      <c r="AG2" s="171"/>
      <c r="AH2" s="171"/>
      <c r="AI2" s="171"/>
      <c r="AJ2" s="171"/>
    </row>
    <row r="3" spans="1:36" s="179" customFormat="1" ht="11.25" customHeight="1">
      <c r="A3" s="174" t="s">
        <v>1</v>
      </c>
      <c r="B3" s="174"/>
      <c r="C3" s="174"/>
      <c r="D3" s="175" t="s">
        <v>65</v>
      </c>
      <c r="E3" s="174"/>
      <c r="F3" s="524" t="s">
        <v>66</v>
      </c>
      <c r="G3" s="524"/>
      <c r="H3" s="174"/>
      <c r="I3" s="176"/>
      <c r="J3" s="177" t="s">
        <v>67</v>
      </c>
      <c r="K3" s="176"/>
      <c r="L3" s="174" t="s">
        <v>68</v>
      </c>
      <c r="M3" s="176"/>
      <c r="N3" s="177" t="s">
        <v>69</v>
      </c>
      <c r="O3" s="176"/>
      <c r="P3" s="174"/>
      <c r="Q3" s="178" t="s">
        <v>70</v>
      </c>
      <c r="U3" s="180"/>
      <c r="V3" s="181" t="s">
        <v>71</v>
      </c>
      <c r="W3" s="182"/>
      <c r="X3" s="182"/>
      <c r="Y3" s="183"/>
      <c r="Z3" s="184"/>
      <c r="AA3" s="184"/>
      <c r="AB3" s="184"/>
      <c r="AC3" s="184"/>
      <c r="AD3" s="184"/>
      <c r="AE3" s="185"/>
      <c r="AF3" s="186"/>
      <c r="AG3" s="187"/>
      <c r="AH3" s="187"/>
      <c r="AI3" s="187"/>
      <c r="AJ3" s="187"/>
    </row>
    <row r="4" spans="1:36" s="196" customFormat="1" ht="11.25" customHeight="1" thickBot="1">
      <c r="A4" s="188" t="str">
        <f>'[1]vnos podatkov'!$D$8</f>
        <v>DP</v>
      </c>
      <c r="B4" s="188"/>
      <c r="C4" s="188"/>
      <c r="D4" s="188" t="str">
        <f>'[1]vnos podatkov'!$A$10</f>
        <v>13.-15.9.2019</v>
      </c>
      <c r="E4" s="189"/>
      <c r="F4" s="190" t="str">
        <f>'[1]vnos podatkov'!$C$10</f>
        <v>TK Z SPORT</v>
      </c>
      <c r="G4" s="190"/>
      <c r="H4" s="190"/>
      <c r="I4" s="191"/>
      <c r="J4" s="192">
        <f>'[1]vnos podatkov'!$D$10</f>
        <v>1</v>
      </c>
      <c r="K4" s="191"/>
      <c r="L4" s="193" t="str">
        <f>'[1]vnos podatkov'!$B$10</f>
        <v>LUKA ZALAZNIK</v>
      </c>
      <c r="M4" s="191"/>
      <c r="N4" s="194">
        <f>COUNTIF(C7:C69,"&gt;0")</f>
        <v>0</v>
      </c>
      <c r="O4" s="191"/>
      <c r="P4" s="189"/>
      <c r="Q4" s="195" t="str">
        <f>'[1]vnos podatkov'!$E$10</f>
        <v>ANJA REGENT</v>
      </c>
      <c r="U4" s="197"/>
      <c r="V4" s="198"/>
      <c r="W4" s="198"/>
      <c r="X4" s="198"/>
      <c r="Y4" s="199"/>
      <c r="Z4" s="199"/>
      <c r="AA4" s="199"/>
      <c r="AB4" s="199"/>
      <c r="AC4" s="199"/>
      <c r="AD4" s="199"/>
      <c r="AE4" s="199"/>
      <c r="AF4" s="200"/>
      <c r="AG4" s="198"/>
      <c r="AH4" s="198"/>
      <c r="AI4" s="198"/>
      <c r="AJ4" s="198"/>
    </row>
    <row r="5" spans="1:36" s="179" customFormat="1" ht="15">
      <c r="A5" s="201"/>
      <c r="B5" s="202" t="s">
        <v>72</v>
      </c>
      <c r="C5" s="202" t="s">
        <v>73</v>
      </c>
      <c r="D5" s="202" t="s">
        <v>74</v>
      </c>
      <c r="E5" s="203" t="s">
        <v>75</v>
      </c>
      <c r="F5" s="203" t="s">
        <v>76</v>
      </c>
      <c r="G5" s="203"/>
      <c r="H5" s="203" t="s">
        <v>66</v>
      </c>
      <c r="I5" s="204"/>
      <c r="J5" s="202" t="s">
        <v>77</v>
      </c>
      <c r="K5" s="205"/>
      <c r="L5" s="202" t="s">
        <v>78</v>
      </c>
      <c r="M5" s="205"/>
      <c r="N5" s="202" t="s">
        <v>79</v>
      </c>
      <c r="O5" s="205"/>
      <c r="P5" s="202" t="s">
        <v>80</v>
      </c>
      <c r="Q5" s="206"/>
      <c r="U5" s="180" t="s">
        <v>73</v>
      </c>
      <c r="V5" s="207" t="s">
        <v>81</v>
      </c>
      <c r="W5" s="208" t="s">
        <v>75</v>
      </c>
      <c r="X5" s="208" t="s">
        <v>76</v>
      </c>
      <c r="Y5" s="209" t="s">
        <v>82</v>
      </c>
      <c r="Z5" s="209" t="s">
        <v>83</v>
      </c>
      <c r="AA5" s="209" t="s">
        <v>78</v>
      </c>
      <c r="AB5" s="209" t="s">
        <v>79</v>
      </c>
      <c r="AC5" s="209" t="s">
        <v>84</v>
      </c>
      <c r="AD5" s="209" t="s">
        <v>85</v>
      </c>
      <c r="AE5" s="210" t="s">
        <v>86</v>
      </c>
      <c r="AF5" s="186"/>
      <c r="AG5" s="187"/>
      <c r="AH5" s="187"/>
      <c r="AI5" s="187"/>
      <c r="AJ5" s="187"/>
    </row>
    <row r="6" spans="1:36" s="179" customFormat="1" ht="3.75" customHeight="1" thickBot="1">
      <c r="A6" s="211"/>
      <c r="B6" s="212"/>
      <c r="C6" s="213"/>
      <c r="D6" s="212"/>
      <c r="E6" s="214"/>
      <c r="F6" s="215"/>
      <c r="G6" s="216"/>
      <c r="H6" s="214"/>
      <c r="I6" s="217"/>
      <c r="J6" s="212"/>
      <c r="K6" s="217"/>
      <c r="L6" s="212"/>
      <c r="M6" s="217"/>
      <c r="N6" s="212"/>
      <c r="O6" s="217"/>
      <c r="P6" s="212"/>
      <c r="Q6" s="218"/>
      <c r="U6" s="180"/>
      <c r="V6" s="219"/>
      <c r="W6" s="220"/>
      <c r="X6" s="220"/>
      <c r="Y6" s="221"/>
      <c r="Z6" s="221"/>
      <c r="AA6" s="221"/>
      <c r="AB6" s="221"/>
      <c r="AC6" s="221"/>
      <c r="AD6" s="221"/>
      <c r="AE6" s="222"/>
      <c r="AF6" s="186"/>
      <c r="AG6" s="187"/>
      <c r="AH6" s="187"/>
      <c r="AI6" s="187"/>
      <c r="AJ6" s="187"/>
    </row>
    <row r="7" spans="1:36" s="234" customFormat="1" ht="10.5" customHeight="1">
      <c r="A7" s="223">
        <v>1</v>
      </c>
      <c r="B7" s="224">
        <f>IF($D7="","",VLOOKUP($D7,'[1]m glavni turnir žrebna lista'!$A$7:$R$38,17))</f>
        <v>0</v>
      </c>
      <c r="C7" s="224">
        <f>IF($D7="","",VLOOKUP($D7,'[1]m glavni turnir žrebna lista'!$A$7:$R$38,2))</f>
        <v>0</v>
      </c>
      <c r="D7" s="225">
        <v>1</v>
      </c>
      <c r="E7" s="224" t="str">
        <f>UPPER(IF($D7="","",VLOOKUP($D7,'[1]m glavni turnir žrebna lista'!$A$7:$R$38,3)))</f>
        <v>JARC MATEJ</v>
      </c>
      <c r="F7" s="224" t="str">
        <f>PROPER(IF($D7="","",VLOOKUP($D7,'[1]m glavni turnir žrebna lista'!$A$7:$R$38,4)))</f>
        <v>1</v>
      </c>
      <c r="G7" s="224"/>
      <c r="H7" s="224">
        <f>IF($D7="","",VLOOKUP($D7,'[1]m glavni turnir žrebna lista'!$A$7:$R$38,5))</f>
        <v>0</v>
      </c>
      <c r="I7" s="226">
        <f>IF($D7="","",VLOOKUP($D7,'[1]m glavni turnir žrebna lista'!$A$7:$R$38,14))</f>
        <v>0</v>
      </c>
      <c r="J7" s="227"/>
      <c r="K7" s="228"/>
      <c r="L7" s="227"/>
      <c r="M7" s="228"/>
      <c r="N7" s="229"/>
      <c r="O7" s="230"/>
      <c r="P7" s="231"/>
      <c r="Q7" s="232"/>
      <c r="R7" s="233"/>
      <c r="T7" s="235" t="e">
        <f>#REF!</f>
        <v>#REF!</v>
      </c>
      <c r="U7" s="180">
        <f>IF($D7="","",VLOOKUP($D7,'[1]m glavni turnir žrebna lista'!$A$7:$R$38,2))</f>
        <v>0</v>
      </c>
      <c r="V7" s="208">
        <v>1</v>
      </c>
      <c r="W7" s="208" t="str">
        <f>UPPER(IF($D7="","",VLOOKUP($D7,'[1]m glavni turnir žrebna lista'!$A$7:$R$38,3)))</f>
        <v>JARC MATEJ</v>
      </c>
      <c r="X7" s="208" t="str">
        <f>PROPER(IF($D7="","",VLOOKUP($D7,'[1]m glavni turnir žrebna lista'!$A$7:$R$38,4)))</f>
        <v>1</v>
      </c>
      <c r="Y7" s="236">
        <f aca="true" t="shared" si="0" ref="Y7:Y38">IF(W7="","",IF($Q$63=1,30,IF($Q$63=2,15,IF($Q$63=3,10,""))))</f>
        <v>30</v>
      </c>
      <c r="Z7" s="209">
        <f>IF(Y7="","",IF(AND($Q$63=1,$U$8=$U$7),30,IF(AND($Q$63=2,$U$8=$U$7),15,IF(AND($Q$63=3,$U$8=$U$7),10,""))))</f>
        <v>30</v>
      </c>
      <c r="AA7" s="209" t="str">
        <f>IF(Z7="","",IF(AND($Q$63=1,$U$8=$U$10,$U$10=$U$7),60,IF(AND($Q$63=2,$U$8=$U$10,$U$10=$U$7),30,IF(AND($Q$63=3,$U$8=$U$10,$U$10=$U$7),20,""))))</f>
        <v/>
      </c>
      <c r="AB7" s="209" t="str">
        <f>IF(AA7="","",IF(AND($Q$63=1,$U$8=$U$10,$U$10=$U$7,$U$10=$U$14),120,IF(AND($Q$63=2,$U$8=$U$10,$U$10=$U$7,$U$10=$U$14),60,IF(AND($Q$63=3,$U$8=$U$10,$U$10=$U$7,$U$10=$U$14),40,""))))</f>
        <v/>
      </c>
      <c r="AC7" s="209" t="str">
        <f>IF(AB7="","",IF(AND($Q$63=1,$U$8=$U$10,$U$10=$U$7,$U$10=$U$14,$U$22=$U$14),120,IF(AND($Q$63=2,$U$8=$U$10,$U$10=$U$7,$U$10=$U$14,$U$22=$U$14),60,IF(AND($Q$63=3,$U$8=$U$10,$U$10=$U$7,$U$10=$U$14,$U$22=$U$14),40,""))))</f>
        <v/>
      </c>
      <c r="AD7" s="209" t="str">
        <f>IF(AC7="","",IF(AND($Q$63=1,$U$8=$U$10,$U$10=$U$7,$U$10=$U$14,$U$22=$U$14,$U$38=$U$22),120,IF(AND($Q$63=2,$U$8=$U$10,$U$10=$U$7,$U$10=$U$14,$U$22=$U$14,$U$38=$U$22),60,IF(AND($Q$63=3,$U$8=$U$10,$U$10=$U$7,$U$10=$U$14,$U$22=$U$14,$U$38=$U$22),40,""))))</f>
        <v/>
      </c>
      <c r="AE7" s="237">
        <f>IF($C$2="B turnir",SUM(Y7:AD7)*0.1,SUM(Y7:AD7))</f>
        <v>60</v>
      </c>
      <c r="AF7" s="186"/>
      <c r="AG7" s="238"/>
      <c r="AH7" s="238"/>
      <c r="AI7" s="238"/>
      <c r="AJ7" s="238"/>
    </row>
    <row r="8" spans="1:36" s="234" customFormat="1" ht="9.6" customHeight="1">
      <c r="A8" s="239"/>
      <c r="B8" s="240"/>
      <c r="C8" s="240"/>
      <c r="D8" s="240"/>
      <c r="E8" s="241"/>
      <c r="F8" s="241"/>
      <c r="G8" s="242"/>
      <c r="H8" s="243" t="s">
        <v>87</v>
      </c>
      <c r="I8" s="244" t="s">
        <v>88</v>
      </c>
      <c r="J8" s="245" t="str">
        <f>UPPER(IF(OR(I8="a",I8="as"),E7,IF(OR(I8="b",I8="bs"),E9,)))</f>
        <v>JARC MATEJ</v>
      </c>
      <c r="K8" s="246">
        <f>IF(OR(I8="a",I8="as"),I7,IF(OR(I8="b",I8="bs"),I9,))</f>
        <v>0</v>
      </c>
      <c r="L8" s="227"/>
      <c r="M8" s="228"/>
      <c r="N8" s="229"/>
      <c r="O8" s="230"/>
      <c r="P8" s="231"/>
      <c r="Q8" s="232"/>
      <c r="R8" s="233"/>
      <c r="T8" s="247" t="e">
        <f>#REF!</f>
        <v>#REF!</v>
      </c>
      <c r="U8" s="180">
        <f>IF(OR(I8="a",I8="as"),C7,IF(OR(I8="b",I8="bs"),C9,""))</f>
        <v>0</v>
      </c>
      <c r="V8" s="208">
        <v>2</v>
      </c>
      <c r="W8" s="248" t="str">
        <f>UPPER(IF($D9="","",VLOOKUP($D9,'[1]m glavni turnir žrebna lista'!$A$7:$R$38,3)))</f>
        <v/>
      </c>
      <c r="X8" s="248" t="str">
        <f>PROPER(IF($D9="","",VLOOKUP($D9,'[1]m glavni turnir žrebna lista'!$A$7:$R$38,4)))</f>
        <v/>
      </c>
      <c r="Y8" s="249" t="str">
        <f t="shared" si="0"/>
        <v/>
      </c>
      <c r="Z8" s="249" t="str">
        <f>IF(Y8="","",IF(AND($Q$63=1,U9=$U$8),30,IF(AND($Q$63=2,U9=$U$8),15,IF(AND($Q$63=3,U9=$U$8),10,""))))</f>
        <v/>
      </c>
      <c r="AA8" s="249" t="str">
        <f>IF(Z8="","",IF(AND($Q$63=1,U9=$U$10,$U$10=$U$8),60,IF(AND($Q$63=2,U9=$U$10,$U$10=$U$8),30,IF(AND($Q$63=3,U9=$U$10,$U$10=$U$8),20,""))))</f>
        <v/>
      </c>
      <c r="AB8" s="249" t="str">
        <f>IF(AA8="","",IF(AND($Q$63=1,$U$8=U9,$U$8=$U$10,$U$10=$U$14),120,IF(AND($Q$63=2,$U$8=U9,$U$8=$U$10,$U$10=$U$14),60,IF(AND($Q$63=3,$U$8=U9,$U$8=$U$10,$U$10=$U$14),40,""))))</f>
        <v/>
      </c>
      <c r="AC8" s="249" t="str">
        <f>IF(AB8="","",IF(AND($Q$63=1,$U$8=$U$10,$U$10=$U$9,$U$10=$U$14,$U$22=$U$14),120,IF(AND($Q$63=2,$U$8=$U$10,$U$10=$U$9,$U$10=$U$14,$U$22=$U$14),60,IF(AND($Q$63=3,$U$8=$U$10,$U$10=$U$9,$U$10=$U$14,$U$22=$U$14),40,""))))</f>
        <v/>
      </c>
      <c r="AD8" s="249" t="str">
        <f>IF(AC8="","",IF(AND($Q$63=1,$U$8=$U$10,$U$10=$U$9,$U$10=$U$14,$U$22=$U$14,$U$38=$U$22),120,IF(AND($Q$63=2,$U$8=$U$10,$U$10=$U$9,$U$10=$U$14,$U$22=$U$14,$U$38=$U$22),60,IF(AND($Q$63=3,$U$8=$U$10,$U$10=$U$9,$U$10=$U$14,$U$22=$U$14,$U$38=$U$22),40,""))))</f>
        <v/>
      </c>
      <c r="AE8" s="250">
        <f aca="true" t="shared" si="1" ref="AE8:AE38">IF($C$2="B turnir",SUM(Y8:AD8)*0.1,SUM(Y8:AD8))</f>
        <v>0</v>
      </c>
      <c r="AF8" s="186"/>
      <c r="AG8" s="238"/>
      <c r="AH8" s="238"/>
      <c r="AI8" s="238"/>
      <c r="AJ8" s="238"/>
    </row>
    <row r="9" spans="1:36" s="234" customFormat="1" ht="9.6" customHeight="1">
      <c r="A9" s="239">
        <v>2</v>
      </c>
      <c r="B9" s="251" t="str">
        <f>IF($D9="","",VLOOKUP($D9,'[1]m glavni turnir žrebna lista'!$A$7:$R$38,17))</f>
        <v/>
      </c>
      <c r="C9" s="251" t="str">
        <f>IF($D9="","",VLOOKUP($D9,'[1]m glavni turnir žrebna lista'!$A$7:$R$38,2))</f>
        <v/>
      </c>
      <c r="D9" s="225"/>
      <c r="E9" s="252" t="s">
        <v>3</v>
      </c>
      <c r="F9" s="252" t="str">
        <f>PROPER(IF($D9="","",VLOOKUP($D9,'[1]m glavni turnir žrebna lista'!$A$7:$R$38,4)))</f>
        <v/>
      </c>
      <c r="G9" s="252"/>
      <c r="H9" s="252" t="str">
        <f>IF($D9="","",VLOOKUP($D9,'[1]m glavni turnir žrebna lista'!$A$7:$R$38,5))</f>
        <v/>
      </c>
      <c r="I9" s="253" t="str">
        <f>IF($D9="","",VLOOKUP($D9,'[1]m glavni turnir žrebna lista'!$A$7:$R$38,14))</f>
        <v/>
      </c>
      <c r="J9" s="254"/>
      <c r="K9" s="255"/>
      <c r="L9" s="227"/>
      <c r="M9" s="228"/>
      <c r="N9" s="229"/>
      <c r="O9" s="230"/>
      <c r="P9" s="231"/>
      <c r="Q9" s="232"/>
      <c r="R9" s="233"/>
      <c r="T9" s="247" t="e">
        <f>#REF!</f>
        <v>#REF!</v>
      </c>
      <c r="U9" s="180" t="str">
        <f>IF($D9="","",VLOOKUP($D9,'[1]m glavni turnir žrebna lista'!$A$7:$R$38,2))</f>
        <v/>
      </c>
      <c r="V9" s="208">
        <v>3</v>
      </c>
      <c r="W9" s="208" t="str">
        <f>UPPER(IF($D11="","",VLOOKUP($D11,'[1]m glavni turnir žrebna lista'!$A$7:$R$38,3)))</f>
        <v/>
      </c>
      <c r="X9" s="208" t="str">
        <f>PROPER(IF($D11="","",VLOOKUP($D11,'[1]m glavni turnir žrebna lista'!$A$7:$R$38,4)))</f>
        <v/>
      </c>
      <c r="Y9" s="209" t="str">
        <f t="shared" si="0"/>
        <v/>
      </c>
      <c r="Z9" s="209" t="str">
        <f>IF(Y9="","",IF(AND($Q$63=1,U11=U12),30,IF(AND($Q$63=2,U11=U12),15,IF(AND($Q$63=3,U11=U12),10,""))))</f>
        <v/>
      </c>
      <c r="AA9" s="209" t="str">
        <f>IF(Z9="","",IF(AND($Q$63=1,$U$10=U11,U11=U12),60,IF(AND($Q$63=2,$U$10=U11,U11=U12),30,IF(AND($Q$63=3,$U$10=U11,U11=U12),20,""))))</f>
        <v/>
      </c>
      <c r="AB9" s="209" t="str">
        <f>IF(AA9="","",IF(AND($Q$63=1,$U$14=$U$10,$U$10=U12,U11=U12),120,IF(AND($Q$63=2,$U$10=$U$14,$U$10=U12,U12=U11),60,IF(AND($Q$63=3,$U$10=$U$14,$U$10=U12,U12=U11),40,""))))</f>
        <v/>
      </c>
      <c r="AC9" s="209" t="str">
        <f>IF(AB9="","",IF(AND($Q$63=1,$U$11=$U$12,$U$10=$U$12,$U$10=$U$14,$U$22=$U$14),120,IF(AND($Q$63=2,$U$11=$U$12,$U$12=$U$10,$U$10=$U$14,$U$22=$U$14),60,IF(AND($Q$63=3,$U$11=$U$12,$U$12=$U$10,$U$10=$U$14,$U$22=$U$14),40,""))))</f>
        <v/>
      </c>
      <c r="AD9" s="209" t="str">
        <f>IF(AC9="","",IF(AND($Q$63=1,$U$11=$U$12,$U$10=$U$12,$U$10=$U$14,$U$22=$U$14,$U$38=$U$22),120,IF(AND($Q$63=2,$U$11=$U$12,$U$12=$U$10,$U$10=$U$14,$U$22=$U$14,$U$38=$U$22),60,IF(AND($Q$63=3,$U$11=$U$12,$U$12=$U$10,$U$10=$U$14,$U$22=$U$14,$U$38=$U$22),40,""))))</f>
        <v/>
      </c>
      <c r="AE9" s="237">
        <f t="shared" si="1"/>
        <v>0</v>
      </c>
      <c r="AF9" s="186"/>
      <c r="AG9" s="238"/>
      <c r="AH9" s="238"/>
      <c r="AI9" s="238"/>
      <c r="AJ9" s="238"/>
    </row>
    <row r="10" spans="1:36" s="234" customFormat="1" ht="9.6" customHeight="1">
      <c r="A10" s="239"/>
      <c r="B10" s="240"/>
      <c r="C10" s="240"/>
      <c r="D10" s="256"/>
      <c r="E10" s="241"/>
      <c r="F10" s="241"/>
      <c r="G10" s="242"/>
      <c r="H10" s="241"/>
      <c r="I10" s="257"/>
      <c r="J10" s="243" t="s">
        <v>87</v>
      </c>
      <c r="K10" s="258"/>
      <c r="L10" s="259" t="str">
        <f>UPPER(IF(OR(K10="a",K10="as"),J8,IF(OR(K10="b",K10="bs"),J12,)))</f>
        <v/>
      </c>
      <c r="M10" s="260">
        <f>IF(OR(K10="a",K10="as"),K8,IF(OR(K10="b",K10="bs"),K12,))</f>
        <v>0</v>
      </c>
      <c r="N10" s="261"/>
      <c r="O10" s="262"/>
      <c r="P10" s="231"/>
      <c r="Q10" s="232"/>
      <c r="R10" s="233"/>
      <c r="T10" s="247" t="e">
        <f>#REF!</f>
        <v>#REF!</v>
      </c>
      <c r="U10" s="180" t="str">
        <f>IF(OR(K10="a",K10="as"),$U$8,IF(OR(K10="b",K10="bs"),U12,""))</f>
        <v/>
      </c>
      <c r="V10" s="208">
        <v>4</v>
      </c>
      <c r="W10" s="263" t="str">
        <f>UPPER(IF($D13="","",VLOOKUP($D13,'[1]m glavni turnir žrebna lista'!$A$7:$R$38,3)))</f>
        <v/>
      </c>
      <c r="X10" s="263" t="str">
        <f>PROPER(IF($D13="","",VLOOKUP($D13,'[1]m glavni turnir žrebna lista'!$A$7:$R$38,4)))</f>
        <v/>
      </c>
      <c r="Y10" s="249" t="str">
        <f t="shared" si="0"/>
        <v/>
      </c>
      <c r="Z10" s="249" t="str">
        <f>IF(Y10="","",IF(AND($Q$63=1,U12=U13),30,IF(AND($Q$63=2,U12=U13),15,IF(AND($Q$63=3,U12=U13),10,""))))</f>
        <v/>
      </c>
      <c r="AA10" s="249" t="str">
        <f>IF(Z10="","",IF(AND($Q$63=1,$U$10=U12,U12=U13),60,IF(AND($Q$63=2,$U$10=U12,U12=U13),30,IF(AND($Q$63=3,$U$10=U12,U12=U13),20,""))))</f>
        <v/>
      </c>
      <c r="AB10" s="249" t="str">
        <f>IF(AA10="","",IF(AND($Q$63=1,$U$14=$U$10,$U$10=U12,U12=U13),120,IF(AND($Q$63=2,$U$14=$U$10,$U$10=U12,U13=U12),60,IF(AND($Q$63=3,$U$14=$U$10,$U$10=U12,U13=U12),40,""))))</f>
        <v/>
      </c>
      <c r="AC10" s="249" t="str">
        <f>IF(AB10="","",IF(AND($Q$63=1,$U$13=$U$12,$U$10=$U$12,$U$10=$U$14,$U$22=$U$14),120,IF(AND($Q$63=2,$U$13=$U$12,$U$12=$U$10,$U$10=$U$14,$U$22=$U$14),60,IF(AND($Q$63=3,$U$13=$U$12,$U$12=$U$10,$U$10=$U$14,$U$22=$U$14),40,""))))</f>
        <v/>
      </c>
      <c r="AD10" s="249" t="str">
        <f>IF(AC10="","",IF(AND($Q$63=1,$U$13=$U$12,$U$10=$U$12,$U$10=$U$14,$U$22=$U$14,$U$38=$U$22),120,IF(AND($Q$63=2,$U$13=$U$12,$U$12=$U$10,$U$10=$U$14,$U$22=$U$14,$U$38=$U$22),60,IF(AND($Q$63=3,$U$13=$U$12,$U$12=$U$10,$U$10=$U$14,$U$22=$U$14,$U$38=$U$22),40,""))))</f>
        <v/>
      </c>
      <c r="AE10" s="250">
        <f t="shared" si="1"/>
        <v>0</v>
      </c>
      <c r="AF10" s="186"/>
      <c r="AG10" s="238"/>
      <c r="AH10" s="238"/>
      <c r="AI10" s="238"/>
      <c r="AJ10" s="238"/>
    </row>
    <row r="11" spans="1:36" s="234" customFormat="1" ht="9.6" customHeight="1">
      <c r="A11" s="239">
        <v>3</v>
      </c>
      <c r="B11" s="251" t="str">
        <f>IF($D11="","",VLOOKUP($D11,'[1]m glavni turnir žrebna lista'!$A$7:$R$38,17))</f>
        <v/>
      </c>
      <c r="C11" s="251" t="str">
        <f>IF($D11="","",VLOOKUP($D11,'[1]m glavni turnir žrebna lista'!$A$7:$R$38,2))</f>
        <v/>
      </c>
      <c r="D11" s="225"/>
      <c r="E11" s="252" t="s">
        <v>3</v>
      </c>
      <c r="F11" s="252" t="str">
        <f>PROPER(IF($D11="","",VLOOKUP($D11,'[1]m glavni turnir žrebna lista'!$A$7:$R$38,4)))</f>
        <v/>
      </c>
      <c r="G11" s="252"/>
      <c r="H11" s="252" t="str">
        <f>IF($D11="","",VLOOKUP($D11,'[1]m glavni turnir žrebna lista'!$A$7:$R$38,5))</f>
        <v/>
      </c>
      <c r="I11" s="226" t="str">
        <f>IF($D11="","",VLOOKUP($D11,'[1]m glavni turnir žrebna lista'!$A$7:$R$38,14))</f>
        <v/>
      </c>
      <c r="J11" s="227"/>
      <c r="K11" s="264"/>
      <c r="L11" s="254"/>
      <c r="M11" s="265"/>
      <c r="N11" s="261"/>
      <c r="O11" s="262"/>
      <c r="P11" s="231"/>
      <c r="Q11" s="232"/>
      <c r="R11" s="233"/>
      <c r="T11" s="247" t="e">
        <f>#REF!</f>
        <v>#REF!</v>
      </c>
      <c r="U11" s="180" t="str">
        <f>IF($D11="","",VLOOKUP($D11,'[1]m glavni turnir žrebna lista'!$A$7:$R$38,2))</f>
        <v/>
      </c>
      <c r="V11" s="208">
        <v>5</v>
      </c>
      <c r="W11" s="208" t="str">
        <f>UPPER(IF($D15="","",VLOOKUP($D15,'[1]m glavni turnir žrebna lista'!$A$7:$R$38,3)))</f>
        <v>STOPAR LUKA</v>
      </c>
      <c r="X11" s="208" t="str">
        <f>PROPER(IF($D15="","",VLOOKUP($D15,'[1]m glavni turnir žrebna lista'!$A$7:$R$38,4)))</f>
        <v/>
      </c>
      <c r="Y11" s="209">
        <f t="shared" si="0"/>
        <v>30</v>
      </c>
      <c r="Z11" s="209">
        <f>IF(Y11="","",IF(AND($Q$63=1,U15=U16),30,IF(AND($Q$63=2,U15=U16),15,IF(AND($Q$63=3,U15=U16),10,""))))</f>
        <v>30</v>
      </c>
      <c r="AA11" s="209" t="str">
        <f>IF(Z11="","",IF(AND($Q$63=1,U15=U16,U16=U18),60,IF(AND($Q$63=2,U15=U16,U16=U18),30,IF(AND($Q$63=3,U15=U16,U16=U18),20,""))))</f>
        <v/>
      </c>
      <c r="AB11" s="209" t="str">
        <f>IF(AA11="","",IF(AND($Q$63=1,U15=$U$14,U15=U16,U16=U18),120,IF(AND($Q$63=2,U15=$U$14,U15=U16,U16=U18),60,IF(AND($Q$63=3,U15=$U$14,U15=U16,U16=U18),40,""))))</f>
        <v/>
      </c>
      <c r="AC11" s="209" t="str">
        <f>IF(AB11="","",IF(AND($Q$63=1,$U$15=$U$16,$U$16=$U$18,$U$18=$U$14,$U$22=$U$14),120,IF(AND($Q$63=2,$U$15=$U$16,$U$16=$U$18,$U$18=$U$14,$U$22=$U$14),60,IF(AND($Q$63=3,$U$15=$U$16,$U$16=$U$18,$U$18=$U$14,$U$22=$U$14),40,""))))</f>
        <v/>
      </c>
      <c r="AD11" s="209" t="str">
        <f>IF(AC11="","",IF(AND($Q$63=1,$U$15=$U$16,$U$16=$U$18,$U$18=$U$14,$U$22=$U$14,$U$38=$U$22),120,IF(AND($Q$63=2,$U$15=$U$16,$U$16=$U$18,$U$18=$U$14,$U$22=$U$14,$U$38=$U$22),60,IF(AND($Q$63=3,$U$15=$U$16,$U$16=$U$18,$U$18=$U$14,$U$22=$U$14,$U$38=$U$22),40,""))))</f>
        <v/>
      </c>
      <c r="AE11" s="237">
        <f t="shared" si="1"/>
        <v>60</v>
      </c>
      <c r="AF11" s="186"/>
      <c r="AG11" s="238"/>
      <c r="AH11" s="238"/>
      <c r="AI11" s="238"/>
      <c r="AJ11" s="238"/>
    </row>
    <row r="12" spans="1:36" s="234" customFormat="1" ht="9.6" customHeight="1">
      <c r="A12" s="239"/>
      <c r="B12" s="240"/>
      <c r="C12" s="240"/>
      <c r="D12" s="256"/>
      <c r="E12" s="241"/>
      <c r="F12" s="241"/>
      <c r="G12" s="242"/>
      <c r="H12" s="243" t="s">
        <v>87</v>
      </c>
      <c r="I12" s="244" t="s">
        <v>88</v>
      </c>
      <c r="J12" s="259" t="str">
        <f>UPPER(IF(OR(I12="a",I12="as"),E11,IF(OR(I12="b",I12="bs"),E13,)))</f>
        <v>PROSTO</v>
      </c>
      <c r="K12" s="266" t="str">
        <f>IF(OR(I12="a",I12="as"),I11,IF(OR(I12="b",I12="bs"),I13,))</f>
        <v/>
      </c>
      <c r="L12" s="227"/>
      <c r="M12" s="265"/>
      <c r="N12" s="261"/>
      <c r="O12" s="262"/>
      <c r="P12" s="231"/>
      <c r="Q12" s="232"/>
      <c r="R12" s="233"/>
      <c r="T12" s="247" t="e">
        <f>#REF!</f>
        <v>#REF!</v>
      </c>
      <c r="U12" s="180" t="str">
        <f>IF(OR(I12="a",I12="as"),C11,IF(OR(I12="b",I12="bs"),C13,""))</f>
        <v/>
      </c>
      <c r="V12" s="208">
        <v>6</v>
      </c>
      <c r="W12" s="263" t="str">
        <f>UPPER(IF($D17="","",VLOOKUP($D17,'[1]m glavni turnir žrebna lista'!$A$7:$R$38,3)))</f>
        <v/>
      </c>
      <c r="X12" s="263" t="str">
        <f>PROPER(IF($D17="","",VLOOKUP($D17,'[1]m glavni turnir žrebna lista'!$A$7:$R$38,4)))</f>
        <v/>
      </c>
      <c r="Y12" s="249" t="str">
        <f t="shared" si="0"/>
        <v/>
      </c>
      <c r="Z12" s="249" t="str">
        <f>IF(Y12="","",IF(AND($Q$63=1,U16=U17),30,IF(AND($Q$63=2,U16=U17),15,IF(AND($Q$63=3,U16=U17),10,""))))</f>
        <v/>
      </c>
      <c r="AA12" s="249" t="str">
        <f>IF(Z12="","",IF(AND($Q$63=1,U16=U17,U17=U18),60,IF(AND($Q$63=2,U16=U17,U17=U18),30,IF(AND($Q$63=3,U16=U17,U17=U18),20,""))))</f>
        <v/>
      </c>
      <c r="AB12" s="249" t="str">
        <f>IF(AA12="","",IF(AND($Q$63=1,U16=$U$14,U16=U17,U17=U18),120,IF(AND($Q$63=2,U16=$U$14,U16=U17,U17=U18),60,IF(AND($Q$63=3,U16=$U$14,U16=U17,U17=U18),40,""))))</f>
        <v/>
      </c>
      <c r="AC12" s="249" t="str">
        <f>IF(AB12="","",IF(AND($Q$63=1,$U$17=$U$16,$U$16=$U$18,$U$18=$U$14,$U$22=$U$14),120,IF(AND($Q$63=2,$U$17=$U$16,$U$16=$U$18,$U$18=$U$14,$U$22=$U$14),60,IF(AND($Q$63=3,$U$17=$U$16,$U$16=$U$18,$U$18=$U$14,$U$22=$U$14),40,""))))</f>
        <v/>
      </c>
      <c r="AD12" s="249" t="str">
        <f>IF(AC12="","",IF(AND($Q$63=1,$U$17=$U$16,$U$16=$U$18,$U$18=$U$14,$U$22=$U$14,$U$38=$U$22),120,IF(AND($Q$63=2,$U$17=$U$16,$U$16=$U$18,$U$18=$U$14,$U$22=$U$14,$U$38=$U$22),60,IF(AND($Q$63=3,$U$17=$U$16,$U$16=$U$18,$U$18=$U$14,$U$22=$U$14,$U$38=$U$22),40,""))))</f>
        <v/>
      </c>
      <c r="AE12" s="250">
        <f t="shared" si="1"/>
        <v>0</v>
      </c>
      <c r="AF12" s="186"/>
      <c r="AG12" s="238"/>
      <c r="AH12" s="238"/>
      <c r="AI12" s="238"/>
      <c r="AJ12" s="238"/>
    </row>
    <row r="13" spans="1:36" s="234" customFormat="1" ht="9.6" customHeight="1">
      <c r="A13" s="239">
        <v>4</v>
      </c>
      <c r="B13" s="251" t="str">
        <f>IF($D13="","",VLOOKUP($D13,'[1]m glavni turnir žrebna lista'!$A$7:$R$38,17))</f>
        <v/>
      </c>
      <c r="C13" s="251" t="str">
        <f>IF($D13="","",VLOOKUP($D13,'[1]m glavni turnir žrebna lista'!$A$7:$R$38,2))</f>
        <v/>
      </c>
      <c r="D13" s="225"/>
      <c r="E13" s="252" t="s">
        <v>3</v>
      </c>
      <c r="F13" s="252" t="str">
        <f>PROPER(IF($D13="","",VLOOKUP($D13,'[1]m glavni turnir žrebna lista'!$A$7:$R$38,4)))</f>
        <v/>
      </c>
      <c r="G13" s="252"/>
      <c r="H13" s="252" t="str">
        <f>IF($D13="","",VLOOKUP($D13,'[1]m glavni turnir žrebna lista'!$A$7:$R$38,5))</f>
        <v/>
      </c>
      <c r="I13" s="253" t="str">
        <f>IF($D13="","",VLOOKUP($D13,'[1]m glavni turnir žrebna lista'!$A$7:$R$38,14))</f>
        <v/>
      </c>
      <c r="J13" s="254"/>
      <c r="K13" s="228"/>
      <c r="L13" s="227"/>
      <c r="M13" s="265"/>
      <c r="N13" s="261"/>
      <c r="O13" s="262"/>
      <c r="P13" s="231"/>
      <c r="Q13" s="232"/>
      <c r="R13" s="233"/>
      <c r="T13" s="247" t="e">
        <f>#REF!</f>
        <v>#REF!</v>
      </c>
      <c r="U13" s="180" t="str">
        <f>IF($D13="","",VLOOKUP($D13,'[1]m glavni turnir žrebna lista'!$A$7:$R$38,2))</f>
        <v/>
      </c>
      <c r="V13" s="208">
        <v>7</v>
      </c>
      <c r="W13" s="208" t="str">
        <f>UPPER(IF($D19="","",VLOOKUP($D19,'[1]m glavni turnir žrebna lista'!$A$7:$R$38,3)))</f>
        <v>KIMOVEC MATIC</v>
      </c>
      <c r="X13" s="208" t="str">
        <f>PROPER(IF($D19="","",VLOOKUP($D19,'[1]m glavni turnir žrebna lista'!$A$7:$R$38,4)))</f>
        <v/>
      </c>
      <c r="Y13" s="209">
        <f t="shared" si="0"/>
        <v>30</v>
      </c>
      <c r="Z13" s="209">
        <f>IF(Y13="","",IF(AND($Q$63=1,U20=U19),30,IF(AND($Q$63=2,U20=U19),15,IF(AND($Q$63=3,U20=U19),10,""))))</f>
        <v>30</v>
      </c>
      <c r="AA13" s="209" t="str">
        <f>IF(Z13="","",IF(AND($Q$63=1,U20=U18,U20=U19),60,IF(AND($Q$63=2,U20=U18,U20=U19),30,IF(AND($Q$63=3,U20=U18,U20=U19),20,""))))</f>
        <v/>
      </c>
      <c r="AB13" s="209" t="str">
        <f>IF(AA13="","",IF(AND($Q$63=1,U20=U19,U19=U18,U18=$U$14),120,IF(AND($Q$63=2,U20=U19,U19=U18,U18=$U$14),60,IF(AND($Q$63=3,U20=U19,U19=U18,U18=$U$14),40,""))))</f>
        <v/>
      </c>
      <c r="AC13" s="209" t="str">
        <f>IF(AB13="","",IF(AND($Q$63=1,$U$19=$U$20,$U$20=$U$18,$U$18=$U$14,$U$22=$U$14),120,IF(AND($Q$63=2,$U$19=$U$20,$U$20=$U$18,$U$18=$U$14,$U$22=$U$14),60,IF(AND($Q$63=3,$U$19=$U$20,$U$20=$U$18,$U$18=$U$14,$U$22=$U$14),40,""))))</f>
        <v/>
      </c>
      <c r="AD13" s="209" t="str">
        <f>IF(AC13="","",IF(AND($Q$63=1,$U$19=$U$20,$U$20=$U$18,$U$18=$U$14,$U$22=$U$14,$U$38=$U$22),120,IF(AND($Q$63=2,$U$19=$U$20,$U$20=$U$18,$U$18=$U$14,$U$22=$U$14,$U$38=$U$22),60,IF(AND($Q$63=3,$U$19=$U$20,$U$20=$U$18,$U$18=$U$14,$U$22=$U$14,$U$38=$U$22),40,""))))</f>
        <v/>
      </c>
      <c r="AE13" s="237">
        <f t="shared" si="1"/>
        <v>60</v>
      </c>
      <c r="AF13" s="186"/>
      <c r="AG13" s="238"/>
      <c r="AH13" s="238"/>
      <c r="AI13" s="238"/>
      <c r="AJ13" s="238"/>
    </row>
    <row r="14" spans="1:36" s="234" customFormat="1" ht="9.6" customHeight="1">
      <c r="A14" s="239"/>
      <c r="B14" s="240"/>
      <c r="C14" s="240"/>
      <c r="D14" s="256"/>
      <c r="E14" s="227"/>
      <c r="F14" s="227"/>
      <c r="G14" s="267"/>
      <c r="H14" s="268"/>
      <c r="I14" s="257"/>
      <c r="J14" s="227"/>
      <c r="K14" s="228"/>
      <c r="L14" s="243" t="s">
        <v>87</v>
      </c>
      <c r="M14" s="258"/>
      <c r="N14" s="259" t="str">
        <f>UPPER(IF(OR(M14="a",M14="as"),L10,IF(OR(M14="b",M14="bs"),L18,)))</f>
        <v/>
      </c>
      <c r="O14" s="260">
        <f>IF(OR(M14="a",M14="as"),M10,IF(OR(M14="b",M14="bs"),M18,))</f>
        <v>0</v>
      </c>
      <c r="P14" s="231"/>
      <c r="Q14" s="232"/>
      <c r="R14" s="233"/>
      <c r="T14" s="247" t="e">
        <f>#REF!</f>
        <v>#REF!</v>
      </c>
      <c r="U14" s="180" t="str">
        <f>IF(OR(M14="a",M14="as"),$U$10,IF(OR(M14="b",M14="bs"),U18,""))</f>
        <v/>
      </c>
      <c r="V14" s="208">
        <v>8</v>
      </c>
      <c r="W14" s="263" t="str">
        <f>UPPER(IF($D21="","",VLOOKUP($D21,'[1]m glavni turnir žrebna lista'!$A$7:$R$38,3)))</f>
        <v/>
      </c>
      <c r="X14" s="263" t="str">
        <f>PROPER(IF($D21="","",VLOOKUP($D21,'[1]m glavni turnir žrebna lista'!$A$7:$R$38,4)))</f>
        <v/>
      </c>
      <c r="Y14" s="249" t="str">
        <f t="shared" si="0"/>
        <v/>
      </c>
      <c r="Z14" s="249" t="str">
        <f>IF(Y14="","",IF(AND($Q$63=1,U21=U20),30,IF(AND($Q$63=2,U21=U20),15,IF(AND($Q$63=3,U21=U20),10,""))))</f>
        <v/>
      </c>
      <c r="AA14" s="249" t="str">
        <f>IF(Z14="","",IF(AND($Q$63=1,U20=U18,U21=U20),60,IF(AND($Q$63=2,U20=U18,U21=U20),30,IF(AND($Q$63=3,U20=U18,U21=U20),20,""))))</f>
        <v/>
      </c>
      <c r="AB14" s="249" t="str">
        <f>IF(AA14="","",IF(AND($Q$63=1,U21=U20,U20=U18,U18=$U$14),120,IF(AND($Q$63=2,U21=U20,U20=U18,U18=$U$14),60,IF(AND($Q$63=3,U21=U20,U20=U18,U18=$U$14),40,""))))</f>
        <v/>
      </c>
      <c r="AC14" s="249" t="str">
        <f>IF(AB14="","",IF(AND($Q$63=1,$U$21=$U$20,$U$20=$U$18,$U$18=$U$14,$U$22=$U$14),120,IF(AND($Q$63=2,$U$21=$U$20,$U$20=$U$18,$U$18=$U$14,$U$22=$U$14),60,IF(AND($Q$63=3,$U$21=$U$20,$U$20=$U$18,$U$18=$U$14,$U$22=$U$14),40,""))))</f>
        <v/>
      </c>
      <c r="AD14" s="249" t="str">
        <f>IF(AC14="","",IF(AND($Q$63=1,$U$21=$U$20,$U$20=$U$18,$U$18=$U$14,$U$22=$U$14,$U$38=$U$22),120,IF(AND($Q$63=2,$U$21=$U$20,$U$20=$U$18,$U$18=$U$14,$U$22=$U$14,$U$38=$U$22),60,IF(AND($Q$63=3,$U$21=$U$20,$U$20=$U$18,$U$18=$U$14,$U$22=$U$14,$U$38=$U$22),40,""))))</f>
        <v/>
      </c>
      <c r="AE14" s="250">
        <f t="shared" si="1"/>
        <v>0</v>
      </c>
      <c r="AF14" s="186"/>
      <c r="AG14" s="238"/>
      <c r="AH14" s="238"/>
      <c r="AI14" s="238"/>
      <c r="AJ14" s="238"/>
    </row>
    <row r="15" spans="1:36" s="234" customFormat="1" ht="9.6" customHeight="1">
      <c r="A15" s="239">
        <v>5</v>
      </c>
      <c r="B15" s="251">
        <f>IF($D15="","",VLOOKUP($D15,'[1]m glavni turnir žrebna lista'!$A$7:$R$38,17))</f>
        <v>0</v>
      </c>
      <c r="C15" s="251">
        <f>IF($D15="","",VLOOKUP($D15,'[1]m glavni turnir žrebna lista'!$A$7:$R$38,2))</f>
        <v>0</v>
      </c>
      <c r="D15" s="225">
        <v>12</v>
      </c>
      <c r="E15" s="252" t="str">
        <f>UPPER(IF($D15="","",VLOOKUP($D15,'[1]m glavni turnir žrebna lista'!$A$7:$R$38,3)))</f>
        <v>STOPAR LUKA</v>
      </c>
      <c r="F15" s="252" t="str">
        <f>PROPER(IF($D15="","",VLOOKUP($D15,'[1]m glavni turnir žrebna lista'!$A$7:$R$38,4)))</f>
        <v/>
      </c>
      <c r="G15" s="252"/>
      <c r="H15" s="252">
        <f>IF($D15="","",VLOOKUP($D15,'[1]m glavni turnir žrebna lista'!$A$7:$R$38,5))</f>
        <v>0</v>
      </c>
      <c r="I15" s="226">
        <f>IF($D15="","",VLOOKUP($D15,'[1]m glavni turnir žrebna lista'!$A$7:$R$38,14))</f>
        <v>0</v>
      </c>
      <c r="J15" s="227"/>
      <c r="K15" s="228"/>
      <c r="L15" s="227"/>
      <c r="M15" s="265"/>
      <c r="N15" s="254"/>
      <c r="O15" s="269"/>
      <c r="P15" s="229"/>
      <c r="Q15" s="230"/>
      <c r="R15" s="233"/>
      <c r="T15" s="247" t="e">
        <f>#REF!</f>
        <v>#REF!</v>
      </c>
      <c r="U15" s="180">
        <f>IF($D15="","",VLOOKUP($D15,'[1]m glavni turnir žrebna lista'!$A$7:$R$38,2))</f>
        <v>0</v>
      </c>
      <c r="V15" s="208">
        <v>9</v>
      </c>
      <c r="W15" s="208" t="str">
        <f>UPPER(IF($D23="","",VLOOKUP($D23,'[1]m glavni turnir žrebna lista'!$A$7:$R$38,3)))</f>
        <v>PEČEČNIK DENIS</v>
      </c>
      <c r="X15" s="208" t="str">
        <f>PROPER(IF($D23="","",VLOOKUP($D23,'[1]m glavni turnir žrebna lista'!$A$7:$R$38,4)))</f>
        <v>3</v>
      </c>
      <c r="Y15" s="209">
        <f t="shared" si="0"/>
        <v>30</v>
      </c>
      <c r="Z15" s="209">
        <f>IF(Y15="","",IF(AND($Q$63=1,U24=U23),30,IF(AND($Q$63=2,U24=U23),15,IF(AND($Q$63=3,U24=U23),10,""))))</f>
        <v>30</v>
      </c>
      <c r="AA15" s="209" t="str">
        <f>IF(Z15="","",IF(AND($Q$63=1,U26=U24,U24=U23),60,IF(AND($Q$63=2,U26=U24,U24=U23),30,IF(AND($Q$63=3,U26=U24,U24=U23),20,""))))</f>
        <v/>
      </c>
      <c r="AB15" s="209" t="str">
        <f>IF(AA15="","",IF(AND($Q$63=1,U23=U24,U24=U26,U26=U30),120,IF(AND($Q$63=2,U23=U24,U24=U26,U26=U30),60,IF(AND($Q$63=3,U23=U24,U24=U26,U26=U30),40,""))))</f>
        <v/>
      </c>
      <c r="AC15" s="209" t="str">
        <f>IF(AB15="","",IF(AND($Q$63=1,$U$23=$U$24,$U$24=$U$26,$U$26=$U$30,$U$30=$U$22),120,IF(AND($Q$63=2,$U$23=$U$24,$U$24=$U$26,$U$26=$U$30,$U$30=$U$22),60,IF(AND($Q$63=3,$U$23=$U$24,$U$24=$U$26,$U$26=$U$30,$U$30=$U$22),40,""))))</f>
        <v/>
      </c>
      <c r="AD15" s="209" t="str">
        <f>IF(AC15="","",IF(AND($Q$63=1,$U$23=$U$24,$U$24=$U$26,$U$26=$U$30,$U$30=$U$22,$U$38=$U$22),120,IF(AND($Q$63=2,$U$23=$U$24,$U$24=$U$26,$U$26=$U$30,$U$30=$U$22,$U$38=$U$22),60,IF(AND($Q$63=3,$U$23=$U$24,$U$24=$U$26,$U$26=$U$30,$U$30=$U$22,$U$38=$U$22),40,""))))</f>
        <v/>
      </c>
      <c r="AE15" s="237">
        <f t="shared" si="1"/>
        <v>60</v>
      </c>
      <c r="AF15" s="186"/>
      <c r="AG15" s="238"/>
      <c r="AH15" s="238"/>
      <c r="AI15" s="238"/>
      <c r="AJ15" s="238"/>
    </row>
    <row r="16" spans="1:36" s="234" customFormat="1" ht="9.6" customHeight="1" thickBot="1">
      <c r="A16" s="239"/>
      <c r="B16" s="240"/>
      <c r="C16" s="240"/>
      <c r="D16" s="256"/>
      <c r="E16" s="241"/>
      <c r="F16" s="241"/>
      <c r="G16" s="242"/>
      <c r="H16" s="243" t="s">
        <v>87</v>
      </c>
      <c r="I16" s="244" t="s">
        <v>88</v>
      </c>
      <c r="J16" s="252" t="str">
        <f>UPPER(IF(OR(I16="a",I16="as"),E15,IF(OR(I16="b",I16="bs"),E17,)))</f>
        <v>STOPAR LUKA</v>
      </c>
      <c r="K16" s="246">
        <f>IF(OR(I16="a",I16="as"),I15,IF(OR(I16="b",I16="bs"),I17,))</f>
        <v>0</v>
      </c>
      <c r="L16" s="227"/>
      <c r="M16" s="265"/>
      <c r="N16" s="229"/>
      <c r="O16" s="269"/>
      <c r="P16" s="229"/>
      <c r="Q16" s="230"/>
      <c r="R16" s="233"/>
      <c r="T16" s="270" t="e">
        <f>#REF!</f>
        <v>#REF!</v>
      </c>
      <c r="U16" s="180">
        <f>IF(OR(I16="a",I16="as"),C15,IF(OR(I16="b",I16="bs"),C17,""))</f>
        <v>0</v>
      </c>
      <c r="V16" s="208">
        <v>10</v>
      </c>
      <c r="W16" s="263" t="str">
        <f>UPPER(IF($D25="","",VLOOKUP($D25,'[1]m glavni turnir žrebna lista'!$A$7:$R$38,3)))</f>
        <v/>
      </c>
      <c r="X16" s="263" t="str">
        <f>PROPER(IF($D25="","",VLOOKUP($D25,'[1]m glavni turnir žrebna lista'!$A$7:$R$38,4)))</f>
        <v/>
      </c>
      <c r="Y16" s="249" t="str">
        <f t="shared" si="0"/>
        <v/>
      </c>
      <c r="Z16" s="249" t="str">
        <f>IF(Y16="","",IF(AND($Q$63=1,U25=U24),30,IF(AND($Q$63=2,U25=U24),15,IF(AND($Q$63=3,U25=U24),10,""))))</f>
        <v/>
      </c>
      <c r="AA16" s="249" t="str">
        <f>IF(Z16="","",IF(AND($Q$63=1,U26=U25,U25=U24),60,IF(AND($Q$63=2,U26=U25,U25=U24),30,IF(AND($Q$63=3,U26=U25,U25=U24),20,""))))</f>
        <v/>
      </c>
      <c r="AB16" s="249" t="str">
        <f>IF(AA16="","",IF(AND($Q$63=1,U24=U25,U25=U26,U26=U30),120,IF(AND($Q$63=2,U24=U25,U25=U26,U26=U30),60,IF(AND($Q$63=3,U24=U25,U25=U26,U26=U30),40,""))))</f>
        <v/>
      </c>
      <c r="AC16" s="249" t="str">
        <f>IF(AB16="","",IF(AND($Q$63=1,$U$25=$U$24,$U$24=$U$26,$U$26=$U$30,$U$30=$U$22),120,IF(AND($Q$63=2,$U$25=$U$24,$U$24=$U$26,$U$26=$U$30,$U$30=$U$22),60,IF(AND($Q$63=3,$U$25=$U$24,$U$24=$U$26,$U$26=$U$30,$U$30=$U$22),40,""))))</f>
        <v/>
      </c>
      <c r="AD16" s="249" t="str">
        <f>IF(AC16="","",IF(AND($Q$63=1,$U$25=$U$24,$U$24=$U$26,$U$26=$U$30,$U$30=$U$22,$U$38=$U$22),120,IF(AND($Q$63=2,$U$25=$U$24,$U$24=$U$26,$U$26=$U$30,$U$30=$U$22,$U$38=$U$22),60,IF(AND($Q$63=3,$U$25=$U$24,$U$24=$U$26,$U$26=$U$30,$U$30=$U$22,$U$38=$U$22),40,""))))</f>
        <v/>
      </c>
      <c r="AE16" s="250">
        <f t="shared" si="1"/>
        <v>0</v>
      </c>
      <c r="AF16" s="186"/>
      <c r="AG16" s="238"/>
      <c r="AH16" s="238"/>
      <c r="AI16" s="238"/>
      <c r="AJ16" s="238"/>
    </row>
    <row r="17" spans="1:36" s="234" customFormat="1" ht="9.6" customHeight="1">
      <c r="A17" s="239">
        <v>6</v>
      </c>
      <c r="B17" s="251" t="str">
        <f>IF($D17="","",VLOOKUP($D17,'[1]m glavni turnir žrebna lista'!$A$7:$R$38,17))</f>
        <v/>
      </c>
      <c r="C17" s="251" t="str">
        <f>IF($D17="","",VLOOKUP($D17,'[1]m glavni turnir žrebna lista'!$A$7:$R$38,2))</f>
        <v/>
      </c>
      <c r="D17" s="225"/>
      <c r="E17" s="252" t="s">
        <v>3</v>
      </c>
      <c r="F17" s="252" t="str">
        <f>PROPER(IF($D17="","",VLOOKUP($D17,'[1]m glavni turnir žrebna lista'!$A$7:$R$38,4)))</f>
        <v/>
      </c>
      <c r="G17" s="252"/>
      <c r="H17" s="252" t="str">
        <f>IF($D17="","",VLOOKUP($D17,'[1]m glavni turnir žrebna lista'!$A$7:$R$38,5))</f>
        <v/>
      </c>
      <c r="I17" s="253" t="str">
        <f>IF($D17="","",VLOOKUP($D17,'[1]m glavni turnir žrebna lista'!$A$7:$R$38,14))</f>
        <v/>
      </c>
      <c r="J17" s="254"/>
      <c r="K17" s="255"/>
      <c r="L17" s="227"/>
      <c r="M17" s="265"/>
      <c r="N17" s="229"/>
      <c r="O17" s="269"/>
      <c r="P17" s="229"/>
      <c r="Q17" s="230"/>
      <c r="R17" s="233"/>
      <c r="U17" s="180" t="str">
        <f>IF($D17="","",VLOOKUP($D17,'[1]m glavni turnir žrebna lista'!$A$7:$R$38,2))</f>
        <v/>
      </c>
      <c r="V17" s="208">
        <v>11</v>
      </c>
      <c r="W17" s="208" t="str">
        <f>UPPER(IF($D27="","",VLOOKUP($D27,'[1]m glavni turnir žrebna lista'!$A$7:$R$38,3)))</f>
        <v>SUŠNIK URBAN</v>
      </c>
      <c r="X17" s="208" t="str">
        <f>PROPER(IF($D27="","",VLOOKUP($D27,'[1]m glavni turnir žrebna lista'!$A$7:$R$38,4)))</f>
        <v/>
      </c>
      <c r="Y17" s="209">
        <f t="shared" si="0"/>
        <v>30</v>
      </c>
      <c r="Z17" s="209">
        <f>IF(Y17="","",IF(AND($Q$63=1,U28=U27),30,IF(AND($Q$63=2,U28=U27),15,IF(AND($Q$63=3,U28=U27),10,""))))</f>
        <v>30</v>
      </c>
      <c r="AA17" s="209" t="str">
        <f>IF(Z17="","",IF(AND($Q$63=1,U27=U26,U26=U28),60,IF(AND($Q$63=2,U27=U26,U26=U28),30,IF(AND($Q$63=3,U27=U26,U26=U28),20,""))))</f>
        <v/>
      </c>
      <c r="AB17" s="209" t="str">
        <f>IF(AA17="","",IF(AND($Q$63=1,U28=U27,U26=U27,U28=U30),120,IF(AND($Q$63=2,U28=U27,U26=U27,U28=U30),60,IF(AND($Q$63=3,U28=U26,U26=U27,U28=U30),40,""))))</f>
        <v/>
      </c>
      <c r="AC17" s="209" t="str">
        <f>IF(AB17="","",IF(AND($Q$63=1,$U$27=$U$28,$U$28=$U$26,$U$26=$U$30,$U$30=$U$22),120,IF(AND($Q$63=2,$U$27=$U$28,$U$28=$U$26,$U$26=$U$30,$U$30=$U$22),60,IF(AND($Q$63=3,$U$27=$U$28,$U$28=$U$26,$U$26=$U$30,$U$30=$U$22),40,""))))</f>
        <v/>
      </c>
      <c r="AD17" s="209" t="str">
        <f>IF(AC17="","",IF(AND($Q$63=1,$U$27=$U$28,$U$28=$U$26,$U$26=$U$30,$U$30=$U$22,$U$38=$U$22),120,IF(AND($Q$63=2,$U$27=$U$28,$U$28=$U$26,$U$26=$U$30,$U$30=$U$22,$U$38=$U$22),60,IF(AND($Q$63=3,$U$27=$U$28,$U$28=$U$26,$U$26=$U$30,$U$30=$U$22,$U$38=$U$22),40,""))))</f>
        <v/>
      </c>
      <c r="AE17" s="237">
        <f t="shared" si="1"/>
        <v>60</v>
      </c>
      <c r="AF17" s="186"/>
      <c r="AG17" s="238"/>
      <c r="AH17" s="238"/>
      <c r="AI17" s="238"/>
      <c r="AJ17" s="238"/>
    </row>
    <row r="18" spans="1:36" s="234" customFormat="1" ht="9.6" customHeight="1">
      <c r="A18" s="239"/>
      <c r="B18" s="240"/>
      <c r="C18" s="240"/>
      <c r="D18" s="256"/>
      <c r="E18" s="241"/>
      <c r="F18" s="241"/>
      <c r="G18" s="242"/>
      <c r="H18" s="227"/>
      <c r="I18" s="257"/>
      <c r="J18" s="243" t="s">
        <v>87</v>
      </c>
      <c r="K18" s="258"/>
      <c r="L18" s="259" t="str">
        <f>UPPER(IF(OR(K18="a",K18="as"),J16,IF(OR(K18="b",K18="bs"),J20,)))</f>
        <v/>
      </c>
      <c r="M18" s="271">
        <f>IF(OR(K18="a",K18="as"),K16,IF(OR(K18="b",K18="bs"),K20,))</f>
        <v>0</v>
      </c>
      <c r="N18" s="229"/>
      <c r="O18" s="269"/>
      <c r="P18" s="229"/>
      <c r="Q18" s="230"/>
      <c r="R18" s="233"/>
      <c r="U18" s="180" t="str">
        <f>IF(OR(K18="a",K18="as"),U16,IF(OR(K18="b",K18="bs"),U20,""))</f>
        <v/>
      </c>
      <c r="V18" s="208">
        <v>12</v>
      </c>
      <c r="W18" s="263" t="str">
        <f>UPPER(IF($D29="","",VLOOKUP($D29,'[1]m glavni turnir žrebna lista'!$A$7:$R$38,3)))</f>
        <v/>
      </c>
      <c r="X18" s="263" t="str">
        <f>PROPER(IF($D29="","",VLOOKUP($D29,'[1]m glavni turnir žrebna lista'!$A$7:$R$38,4)))</f>
        <v/>
      </c>
      <c r="Y18" s="249" t="str">
        <f t="shared" si="0"/>
        <v/>
      </c>
      <c r="Z18" s="249" t="str">
        <f>IF(Y18="","",IF(AND($Q$63=1,U29=U28),30,IF(AND($Q$63=2,U29=U28),15,IF(AND($Q$63=3,U29=U28),10,""))))</f>
        <v/>
      </c>
      <c r="AA18" s="249" t="str">
        <f>IF(Z18="","",IF(AND($Q$63=1,U28=U26,U28=U29),60,IF(AND($Q$63=2,U28=U26,U26=U29),30,IF(AND($Q$63=3,U28=U26,U26=U29),20,""))))</f>
        <v/>
      </c>
      <c r="AB18" s="249" t="str">
        <f>IF(AA18="","",IF(AND($Q$63=1,U29=U28,U26=U28,U29=U30),120,IF(AND($Q$63=2,U29=U28,U26=U28,U29=U30),60,IF(AND($Q$63=3,U29=U26,U26=U28,U29=U30),40,""))))</f>
        <v/>
      </c>
      <c r="AC18" s="249" t="str">
        <f>IF(AB18="","",IF(AND($Q$63=1,$U$29=$U$28,$U$28=$U$26,$U$26=$U$30,$U$30=$U$22),120,IF(AND($Q$63=2,$U$29=$U$28,$U$28=$U$26,$U$26=$U$30,$U$30=$U$22),60,IF(AND($Q$63=3,$U$29=$U$28,$U$28=$U$26,$U$26=$U$30,$U$30=$U$22),40,""))))</f>
        <v/>
      </c>
      <c r="AD18" s="249" t="str">
        <f>IF(AC18="","",IF(AND($Q$63=1,$U$29=$U$28,$U$28=$U$26,$U$26=$U$30,$U$30=$U$22,$U$38=$U$22),120,IF(AND($Q$63=2,$U$29=$U$28,$U$28=$U$26,$U$26=$U$30,$U$30=$U$22,$U$38=$U$22),60,IF(AND($Q$63=3,$U$29=$U$28,$U$28=$U$26,$U$26=$U$30,$U$30=$U$22,$U$38=$U$22),40,""))))</f>
        <v/>
      </c>
      <c r="AE18" s="250">
        <f t="shared" si="1"/>
        <v>0</v>
      </c>
      <c r="AF18" s="186"/>
      <c r="AG18" s="238"/>
      <c r="AH18" s="238"/>
      <c r="AI18" s="238"/>
      <c r="AJ18" s="238"/>
    </row>
    <row r="19" spans="1:36" s="234" customFormat="1" ht="9.6" customHeight="1">
      <c r="A19" s="239">
        <v>7</v>
      </c>
      <c r="B19" s="251">
        <f>IF($D19="","",VLOOKUP($D19,'[1]m glavni turnir žrebna lista'!$A$7:$R$38,17))</f>
        <v>0</v>
      </c>
      <c r="C19" s="251">
        <f>IF($D19="","",VLOOKUP($D19,'[1]m glavni turnir žrebna lista'!$A$7:$R$38,2))</f>
        <v>0</v>
      </c>
      <c r="D19" s="225">
        <v>7</v>
      </c>
      <c r="E19" s="252" t="str">
        <f>UPPER(IF($D19="","",VLOOKUP($D19,'[1]m glavni turnir žrebna lista'!$A$7:$R$38,3)))</f>
        <v>KIMOVEC MATIC</v>
      </c>
      <c r="F19" s="252" t="str">
        <f>PROPER(IF($D19="","",VLOOKUP($D19,'[1]m glavni turnir žrebna lista'!$A$7:$R$38,4)))</f>
        <v/>
      </c>
      <c r="G19" s="252"/>
      <c r="H19" s="252">
        <f>IF($D19="","",VLOOKUP($D19,'[1]m glavni turnir žrebna lista'!$A$7:$R$38,5))</f>
        <v>0</v>
      </c>
      <c r="I19" s="226">
        <f>IF($D19="","",VLOOKUP($D19,'[1]m glavni turnir žrebna lista'!$A$7:$R$38,14))</f>
        <v>0</v>
      </c>
      <c r="J19" s="227"/>
      <c r="K19" s="264"/>
      <c r="L19" s="254"/>
      <c r="M19" s="262"/>
      <c r="N19" s="229"/>
      <c r="O19" s="269"/>
      <c r="P19" s="229"/>
      <c r="Q19" s="230"/>
      <c r="R19" s="233"/>
      <c r="U19" s="180">
        <f>IF($D19="","",VLOOKUP($D19,'[1]m glavni turnir žrebna lista'!$A$7:$R$38,2))</f>
        <v>0</v>
      </c>
      <c r="V19" s="208">
        <v>13</v>
      </c>
      <c r="W19" s="208" t="str">
        <f>UPPER(IF($D31="","",VLOOKUP($D31,'[1]m glavni turnir žrebna lista'!$A$7:$R$38,3)))</f>
        <v>ZAJEC GABER</v>
      </c>
      <c r="X19" s="208" t="str">
        <f>PROPER(IF($D31="","",VLOOKUP($D31,'[1]m glavni turnir žrebna lista'!$A$7:$R$38,4)))</f>
        <v/>
      </c>
      <c r="Y19" s="209">
        <f t="shared" si="0"/>
        <v>30</v>
      </c>
      <c r="Z19" s="209">
        <f>IF(Y19="","",IF(AND($Q$63=1,U32=U31),30,IF(AND($Q$63=2,U32=U31),15,IF(AND($Q$63=3,U32=U31),10,""))))</f>
        <v>30</v>
      </c>
      <c r="AA19" s="209">
        <f>IF(Z19="","",IF(AND($Q$63=1,U34=U32,U32=U31),60,IF(AND($Q$63=2,U34=U32,U32=U31),30,IF(AND($Q$63=3,U34=U32,U32=U31),20,""))))</f>
        <v>60</v>
      </c>
      <c r="AB19" s="209" t="str">
        <f>IF(AA19="","",IF(AND($Q$63=1,U31=U32,U32=U34,U30=U34),120,IF(AND($Q$63=2,U31=U32,U32=U34,U30=U34),60,IF(AND($Q$63=3,U31=U32,U32=U34,U30=U34),40,""))))</f>
        <v/>
      </c>
      <c r="AC19" s="209" t="str">
        <f>IF(AB19="","",IF(AND($Q$63=1,$U$31=$U$32,$U$32=$U$34,$U$34=$U$30,$U$30=$U$22),120,IF(AND($Q$63=2,$U$31=$U$32,$U$32=$U$34,$U$34=$U$30,$U$30=$U$22),60,IF(AND($Q$63=3,$U$31=$U$32,$U$32=$U$34,$U$34=$U$30,$U$30=$U$22),40,""))))</f>
        <v/>
      </c>
      <c r="AD19" s="209" t="str">
        <f>IF(AC19="","",IF(AND($Q$63=1,$U$31=$U$32,$U$32=$U$34,$U$34=$U$30,$U$30=$U$22,$U$38=$U$22),120,IF(AND($Q$63=2,$U$31=$U$32,$U$32=$U$34,$U$34=$U$30,$U$30=$U$22,$U$38=$U$22),60,IF(AND($Q$63=3,$U$31=$U$32,$U$32=$U$34,$U$34=$U$30,$U$30=$U$22,$U$38=$U$22),40,""))))</f>
        <v/>
      </c>
      <c r="AE19" s="237">
        <f t="shared" si="1"/>
        <v>120</v>
      </c>
      <c r="AF19" s="186"/>
      <c r="AG19" s="238"/>
      <c r="AH19" s="238"/>
      <c r="AI19" s="238"/>
      <c r="AJ19" s="238"/>
    </row>
    <row r="20" spans="1:36" s="234" customFormat="1" ht="9.6" customHeight="1">
      <c r="A20" s="239"/>
      <c r="B20" s="240"/>
      <c r="C20" s="240"/>
      <c r="D20" s="240"/>
      <c r="E20" s="241"/>
      <c r="F20" s="241"/>
      <c r="G20" s="242"/>
      <c r="H20" s="243" t="s">
        <v>87</v>
      </c>
      <c r="I20" s="244" t="s">
        <v>88</v>
      </c>
      <c r="J20" s="259" t="str">
        <f>UPPER(IF(OR(I20="a",I20="as"),E19,IF(OR(I20="b",I20="bs"),E21,)))</f>
        <v>KIMOVEC MATIC</v>
      </c>
      <c r="K20" s="272">
        <f>IF(OR(I20="a",I20="as"),I19,IF(OR(I20="b",I20="bs"),I21,))</f>
        <v>0</v>
      </c>
      <c r="L20" s="227"/>
      <c r="M20" s="262"/>
      <c r="N20" s="229"/>
      <c r="O20" s="269"/>
      <c r="P20" s="229"/>
      <c r="Q20" s="230"/>
      <c r="R20" s="233"/>
      <c r="U20" s="180">
        <f>IF(OR(I20="a",I20="as"),C19,IF(OR(I20="b",I20="bs"),C21,""))</f>
        <v>0</v>
      </c>
      <c r="V20" s="208">
        <v>14</v>
      </c>
      <c r="W20" s="263" t="str">
        <f>UPPER(IF($D33="","",VLOOKUP($D33,'[1]m glavni turnir žrebna lista'!$A$7:$R$38,3)))</f>
        <v/>
      </c>
      <c r="X20" s="263" t="str">
        <f>PROPER(IF($D33="","",VLOOKUP($D33,'[1]m glavni turnir žrebna lista'!$A$7:$R$38,4)))</f>
        <v/>
      </c>
      <c r="Y20" s="249" t="str">
        <f t="shared" si="0"/>
        <v/>
      </c>
      <c r="Z20" s="249" t="str">
        <f>IF(Y20="","",IF(AND($Q$63=1,U33=U32),30,IF(AND($Q$63=2,U33=U32),15,IF(AND($Q$63=3,U33=U32),10,""))))</f>
        <v/>
      </c>
      <c r="AA20" s="249" t="str">
        <f>IF(Z20="","",IF(AND($Q$63=1,U34=U33,U33=U32),60,IF(AND($Q$63=2,U34=U33,U33=U32),30,IF(AND($Q$63=3,U34=U33,U33=U32),20,""))))</f>
        <v/>
      </c>
      <c r="AB20" s="249" t="str">
        <f>IF(AA20="","",IF(AND($Q$63=1,U32=U33,U33=U30,U30=U34),120,IF(AND($Q$63=2,U32=U33,U33=U30,U30=U34),60,IF(AND($Q$63=3,U32=U33,U33=U30,U30=U34),40,""))))</f>
        <v/>
      </c>
      <c r="AC20" s="249" t="str">
        <f>IF(AB20="","",IF(AND($Q$63=1,$U$33=$U$32,$U$32=$U$34,$U$34=$U$30,$U$30=$U$22),120,IF(AND($Q$63=2,$U$33=$U$32,$U$32=$U$34,$U$34=$U$30,$U$30=$U$22),60,IF(AND($Q$63=3,$U$33=$U$32,$U$32=$U$34,$U$34=$U$30,$U$30=$U$22),40,""))))</f>
        <v/>
      </c>
      <c r="AD20" s="249" t="str">
        <f>IF(AC20="","",IF(AND($Q$63=1,$U$33=$U$32,$U$32=$U$34,$U$34=$U$30,$U$30=$U$22,$U$38=$U$22),120,IF(AND($Q$63=2,$U$33=$U$32,$U$32=$U$34,$U$34=$U$30,$U$30=$U$22,$U$38=$U$22),60,IF(AND($Q$63=3,$U$33=$U$32,$U$32=$U$34,$U$34=$U$30,$U$30=$U$22,$U$38=$U$22),40,""))))</f>
        <v/>
      </c>
      <c r="AE20" s="250">
        <f t="shared" si="1"/>
        <v>0</v>
      </c>
      <c r="AF20" s="186"/>
      <c r="AG20" s="238"/>
      <c r="AH20" s="238"/>
      <c r="AI20" s="238"/>
      <c r="AJ20" s="238"/>
    </row>
    <row r="21" spans="1:36" s="234" customFormat="1" ht="9.6" customHeight="1">
      <c r="A21" s="223">
        <v>8</v>
      </c>
      <c r="B21" s="224" t="str">
        <f>IF($D21="","",VLOOKUP($D21,'[1]m glavni turnir žrebna lista'!$A$7:$R$38,17))</f>
        <v/>
      </c>
      <c r="C21" s="224" t="str">
        <f>IF($D21="","",VLOOKUP($D21,'[1]m glavni turnir žrebna lista'!$A$7:$R$38,2))</f>
        <v/>
      </c>
      <c r="D21" s="225"/>
      <c r="E21" s="224" t="s">
        <v>3</v>
      </c>
      <c r="F21" s="224" t="str">
        <f>PROPER(IF($D21="","",VLOOKUP($D21,'[1]m glavni turnir žrebna lista'!$A$7:$R$38,4)))</f>
        <v/>
      </c>
      <c r="G21" s="224"/>
      <c r="H21" s="224" t="str">
        <f>IF($D21="","",VLOOKUP($D21,'[1]m glavni turnir žrebna lista'!$A$7:$R$38,5))</f>
        <v/>
      </c>
      <c r="I21" s="253" t="str">
        <f>IF($D21="","",VLOOKUP($D21,'[1]m glavni turnir žrebna lista'!$A$7:$R$38,14))</f>
        <v/>
      </c>
      <c r="J21" s="254"/>
      <c r="K21" s="228"/>
      <c r="L21" s="227"/>
      <c r="M21" s="262"/>
      <c r="N21" s="229"/>
      <c r="O21" s="269"/>
      <c r="P21" s="229"/>
      <c r="Q21" s="230"/>
      <c r="R21" s="233"/>
      <c r="U21" s="180" t="str">
        <f>IF($D21="","",VLOOKUP($D21,'[1]m glavni turnir žrebna lista'!$A$7:$R$38,2))</f>
        <v/>
      </c>
      <c r="V21" s="208">
        <v>15</v>
      </c>
      <c r="W21" s="208" t="str">
        <f>UPPER(IF($D35="","",VLOOKUP($D35,'[1]m glavni turnir žrebna lista'!$A$7:$R$38,3)))</f>
        <v>OGRIČ MIHA</v>
      </c>
      <c r="X21" s="208" t="str">
        <f>PROPER(IF($D35="","",VLOOKUP($D35,'[1]m glavni turnir žrebna lista'!$A$7:$R$38,4)))</f>
        <v/>
      </c>
      <c r="Y21" s="209">
        <f t="shared" si="0"/>
        <v>30</v>
      </c>
      <c r="Z21" s="209">
        <f>IF(Y21="","",IF(AND($Q$63=1,U36=U35),30,IF(AND($Q$63=2,U36=U35),15,IF(AND($Q$63=3,U36=U35),10,""))))</f>
        <v>30</v>
      </c>
      <c r="AA21" s="209">
        <f>IF(Z21="","",IF(AND($Q$63=1,U35=U34,U34=U36),60,IF(AND($Q$63=2,U35=U34,U34=U36),30,IF(AND($Q$63=3,U35=U34,U34=U36),20,""))))</f>
        <v>60</v>
      </c>
      <c r="AB21" s="209" t="str">
        <f>IF(AA21="","",IF(AND($Q$63=1,U30=U34,U34=U35,U35=U36),120,IF(AND($Q$63=2,U30=U34,U34=U35,U35=U36),60,IF(AND($Q$63=3,U30=U34,U34=U35,U35=U36),40,""))))</f>
        <v/>
      </c>
      <c r="AC21" s="209" t="str">
        <f>IF(AB21="","",IF(AND($Q$63=1,$U$35=$U$36,$U$36=$U$34,$U$34=$U$30,$U$30=$U$22),120,IF(AND($Q$63=2,$U$35=$U$36,$U$36=$U$34,$U$34=$U$30,$U$30=$U$22),60,IF(AND($Q$63=3,$U$35=$U$36,$U$36=$U$34,$U$34=$U$30,$U$30=$U$22),40,""))))</f>
        <v/>
      </c>
      <c r="AD21" s="209" t="str">
        <f>IF(AC21="","",IF(AND($Q$63=1,$U$35=$U$36,$U$36=$U$34,$U$34=$U$30,$U$30=$U$22,$U$38=$U$22),120,IF(AND($Q$63=2,$U$35=$U$36,$U$36=$U$34,$U$34=$U$30,$U$30=$U$22,$U$38=$U$22),60,IF(AND($Q$63=3,$U$35=$U$36,$U$36=$U$34,$U$34=$U$30,$U$30=$U$22,$U$38=$U$22),40,""))))</f>
        <v/>
      </c>
      <c r="AE21" s="237">
        <f t="shared" si="1"/>
        <v>120</v>
      </c>
      <c r="AF21" s="186"/>
      <c r="AG21" s="238"/>
      <c r="AH21" s="238"/>
      <c r="AI21" s="238"/>
      <c r="AJ21" s="238"/>
    </row>
    <row r="22" spans="1:36" s="234" customFormat="1" ht="9.6" customHeight="1">
      <c r="A22" s="239"/>
      <c r="B22" s="240"/>
      <c r="C22" s="240"/>
      <c r="D22" s="240"/>
      <c r="E22" s="268"/>
      <c r="F22" s="268"/>
      <c r="G22" s="273"/>
      <c r="H22" s="268"/>
      <c r="I22" s="257"/>
      <c r="J22" s="227"/>
      <c r="K22" s="228"/>
      <c r="L22" s="227"/>
      <c r="M22" s="262"/>
      <c r="N22" s="243" t="s">
        <v>87</v>
      </c>
      <c r="O22" s="258"/>
      <c r="P22" s="259" t="str">
        <f>UPPER(IF(OR(O22="a",O22="as"),N14,IF(OR(O22="b",O22="bs"),N30,)))</f>
        <v/>
      </c>
      <c r="Q22" s="274">
        <f>IF(OR(O22="a",O22="as"),O14,IF(OR(O22="b",O22="bs"),O30,))</f>
        <v>0</v>
      </c>
      <c r="R22" s="233"/>
      <c r="U22" s="180" t="str">
        <f>IF(OR(O22="a",O22="as"),$U$14,IF(OR(O22="b",O22="bs"),U30,""))</f>
        <v/>
      </c>
      <c r="V22" s="208">
        <v>16</v>
      </c>
      <c r="W22" s="263" t="str">
        <f>UPPER(IF($D37="","",VLOOKUP($D37,'[1]m glavni turnir žrebna lista'!$A$7:$R$38,3)))</f>
        <v/>
      </c>
      <c r="X22" s="263" t="str">
        <f>PROPER(IF($D37="","",VLOOKUP($D37,'[1]m glavni turnir žrebna lista'!$A$7:$R$38,4)))</f>
        <v/>
      </c>
      <c r="Y22" s="249" t="str">
        <f t="shared" si="0"/>
        <v/>
      </c>
      <c r="Z22" s="249" t="str">
        <f>IF(Y22="","",IF(AND($Q$63=1,U37=U36),30,IF(AND($Q$63=2,U37=U36),15,IF(AND($Q$63=3,U37=U36),10,""))))</f>
        <v/>
      </c>
      <c r="AA22" s="249" t="str">
        <f>IF(Z22="","",IF(AND($Q$63=1,U36=U34,U34=U37),60,IF(AND($Q$63=2,U36=U34,U34=U37),30,IF(AND($Q$63=3,U36=U34,U34=U37),20,""))))</f>
        <v/>
      </c>
      <c r="AB22" s="249" t="str">
        <f>IF(AA22="","",IF(AND($Q$63=1,U30=U34,U34=U36,U36=U37),120,IF(AND($Q$63=2,U30=U34,U34=U36,U36=U37),60,IF(AND($Q$63=3,U30=U34,U34=U36,U36=U37),40,""))))</f>
        <v/>
      </c>
      <c r="AC22" s="249" t="str">
        <f>IF(AB22="","",IF(AND($Q$63=1,$U$37=$U$36,$U$36=$U$34,$U$34=$U$30,$U$30=$U$22),120,IF(AND($Q$63=2,$U$37=$U$36,$U$36=$U$34,$U$34=$U$30,$U$30=$U$22),60,IF(AND($Q$63=3,$U$37=$U$36,$U$36=$U$34,$U$34=$U$30,$U$30=$U$22),40,""))))</f>
        <v/>
      </c>
      <c r="AD22" s="249" t="str">
        <f>IF(AC22="","",IF(AND($Q$63=1,$U$37=$U$36,$U$36=$U$34,$U$34=$U$30,$U$30=$U$22,$U$38=$U$22),120,IF(AND($Q$63=2,$U$37=$U$36,$U$36=$U$34,$U$34=$U$30,$U$30=$U$22,$U$38=$U$22),60,IF(AND($Q$63=3,$U$37=$U$36,$U$36=$U$34,$U$34=$U$30,$U$30=$U$22,$U$38=$U$22),40,""))))</f>
        <v/>
      </c>
      <c r="AE22" s="250">
        <f t="shared" si="1"/>
        <v>0</v>
      </c>
      <c r="AF22" s="186"/>
      <c r="AG22" s="238"/>
      <c r="AH22" s="238"/>
      <c r="AI22" s="238"/>
      <c r="AJ22" s="238"/>
    </row>
    <row r="23" spans="1:36" s="234" customFormat="1" ht="9.6" customHeight="1">
      <c r="A23" s="223">
        <v>9</v>
      </c>
      <c r="B23" s="224">
        <f>IF($D23="","",VLOOKUP($D23,'[1]m glavni turnir žrebna lista'!$A$7:$R$38,17))</f>
        <v>0</v>
      </c>
      <c r="C23" s="224">
        <f>IF($D23="","",VLOOKUP($D23,'[1]m glavni turnir žrebna lista'!$A$7:$R$38,2))</f>
        <v>0</v>
      </c>
      <c r="D23" s="225">
        <v>3</v>
      </c>
      <c r="E23" s="224" t="str">
        <f>UPPER(IF($D23="","",VLOOKUP($D23,'[1]m glavni turnir žrebna lista'!$A$7:$R$38,3)))</f>
        <v>PEČEČNIK DENIS</v>
      </c>
      <c r="F23" s="224" t="str">
        <f>PROPER(IF($D23="","",VLOOKUP($D23,'[1]m glavni turnir žrebna lista'!$A$7:$R$38,4)))</f>
        <v>3</v>
      </c>
      <c r="G23" s="224"/>
      <c r="H23" s="224">
        <f>IF($D23="","",VLOOKUP($D23,'[1]m glavni turnir žrebna lista'!$A$7:$R$38,5))</f>
        <v>0</v>
      </c>
      <c r="I23" s="226">
        <f>IF($D23="","",VLOOKUP($D23,'[1]m glavni turnir žrebna lista'!$A$7:$R$38,14))</f>
        <v>0</v>
      </c>
      <c r="J23" s="227"/>
      <c r="K23" s="228"/>
      <c r="L23" s="227"/>
      <c r="M23" s="262"/>
      <c r="N23" s="229"/>
      <c r="O23" s="269"/>
      <c r="P23" s="254"/>
      <c r="Q23" s="269"/>
      <c r="R23" s="233"/>
      <c r="U23" s="180">
        <f>IF($D23="","",VLOOKUP($D23,'[1]m glavni turnir žrebna lista'!$A$7:$R$38,2))</f>
        <v>0</v>
      </c>
      <c r="V23" s="208">
        <v>17</v>
      </c>
      <c r="W23" s="208" t="str">
        <f>UPPER(IF($D39="","",VLOOKUP($D39,'[1]m glavni turnir žrebna lista'!$A$7:$R$38,3)))</f>
        <v/>
      </c>
      <c r="X23" s="208" t="str">
        <f>PROPER(IF($D39="","",VLOOKUP($D39,'[1]m glavni turnir žrebna lista'!$A$7:$R$38,4)))</f>
        <v/>
      </c>
      <c r="Y23" s="209" t="str">
        <f t="shared" si="0"/>
        <v/>
      </c>
      <c r="Z23" s="209" t="str">
        <f>IF(Y23="","",IF(AND($Q$63=1,U40=U39),30,IF(AND($Q$63=2,U40=U39),15,IF(AND($Q$63=3,U40=U39),10,""))))</f>
        <v/>
      </c>
      <c r="AA23" s="209" t="str">
        <f>IF(Z23="","",IF(AND($Q$63=1,U39=U40,U40=U42),60,IF(AND($Q$63=2,U39=U40,U40=U42),30,IF(AND($Q$63=3,U39=U40,U40=U42),20,""))))</f>
        <v/>
      </c>
      <c r="AB23" s="209" t="str">
        <f>IF(AA23="","",IF(AND($Q$63=1,U46=U42,U42=U40,U40=U39),120,IF(AND($Q$63=2,U46=U42,U42=U40,U40=U39),60,IF(AND($Q$63=3,U46=U42,U42=U40,U40=U39),40,""))))</f>
        <v/>
      </c>
      <c r="AC23" s="209" t="str">
        <f>IF(AB23="","",IF(AND($Q$63=1,$U$39=$U$40,$U$40=$U$42,$U$42=$U$46,$U$46=$U$54),120,IF(AND($Q$63=2,$U$39=$U$40,$U$40=$U$42,$U$42=$U$46,$U$46=$U$54),60,IF(AND($Q$63=3,$U$39=$U$40,$U$40=$U$42,$U$42=$U$46,$U$46=$U$54),40,""))))</f>
        <v/>
      </c>
      <c r="AD23" s="209" t="str">
        <f>IF(AC23="","",IF(AND($Q$63=1,$U$39=$U$40,$U$40=$U$42,$U$42=$U$46,$U$46=$U$54,$U$38=$U$54),120,IF(AND($Q$63=2,$U$39=$U$40,$U$40=$U$42,$U$42=$U$46,$U$46=$U$54,$U$38=$U$54),60,IF(AND($Q$63=3,$U$39=$U$40,$U$40=$U$42,$U$42=$U$46,$U$46=$U$54,$U$38=$U$54),40,""))))</f>
        <v/>
      </c>
      <c r="AE23" s="237">
        <f t="shared" si="1"/>
        <v>0</v>
      </c>
      <c r="AF23" s="186"/>
      <c r="AG23" s="238"/>
      <c r="AH23" s="238"/>
      <c r="AI23" s="238"/>
      <c r="AJ23" s="238"/>
    </row>
    <row r="24" spans="1:36" s="234" customFormat="1" ht="9.6" customHeight="1">
      <c r="A24" s="239"/>
      <c r="B24" s="240"/>
      <c r="C24" s="240"/>
      <c r="D24" s="240"/>
      <c r="E24" s="241"/>
      <c r="F24" s="241"/>
      <c r="G24" s="242"/>
      <c r="H24" s="243" t="s">
        <v>87</v>
      </c>
      <c r="I24" s="244" t="s">
        <v>88</v>
      </c>
      <c r="J24" s="245" t="str">
        <f>UPPER(IF(OR(I24="a",I24="as"),E23,IF(OR(I24="b",I24="bs"),E25,)))</f>
        <v>PEČEČNIK DENIS</v>
      </c>
      <c r="K24" s="246">
        <f>IF(OR(I24="a",I24="as"),I23,IF(OR(I24="b",I24="bs"),I25,))</f>
        <v>0</v>
      </c>
      <c r="L24" s="227"/>
      <c r="M24" s="262"/>
      <c r="N24" s="229"/>
      <c r="O24" s="269"/>
      <c r="P24" s="229"/>
      <c r="Q24" s="269"/>
      <c r="R24" s="233"/>
      <c r="U24" s="180">
        <f>IF(OR(I24="a",I24="as"),C23,IF(OR(I24="b",I24="bs"),C25,""))</f>
        <v>0</v>
      </c>
      <c r="V24" s="208">
        <v>18</v>
      </c>
      <c r="W24" s="263" t="str">
        <f>UPPER(IF($D41="","",VLOOKUP($D41,'[1]m glavni turnir žrebna lista'!$A$7:$R$38,3)))</f>
        <v>MIHELIČ GAŠPER</v>
      </c>
      <c r="X24" s="263" t="str">
        <f>PROPER(IF($D41="","",VLOOKUP($D41,'[1]m glavni turnir žrebna lista'!$A$7:$R$38,4)))</f>
        <v/>
      </c>
      <c r="Y24" s="249">
        <f t="shared" si="0"/>
        <v>30</v>
      </c>
      <c r="Z24" s="249" t="str">
        <f>IF(Y24="","",IF(AND($Q$63=1,U41=U40),30,IF(AND($Q$63=2,U41=U40),15,IF(AND($Q$63=3,U41=U40),10,""))))</f>
        <v/>
      </c>
      <c r="AA24" s="249" t="str">
        <f>IF(Z24="","",IF(AND($Q$63=1,U40=U41,U41=U42),60,IF(AND($Q$63=2,U40=U41,U41=U42),30,IF(AND($Q$63=3,U40=U41,U41=U42),20,""))))</f>
        <v/>
      </c>
      <c r="AB24" s="249" t="str">
        <f>IF(AA24="","",IF(AND($Q$63=1,U46=U42,U42=U40,U40=U41),120,IF(AND($Q$63=2,U46=U42,U42=U40,U40=U41),60,IF(AND($Q$63=3,U46=U42,U42=U40,U41=U40),40,""))))</f>
        <v/>
      </c>
      <c r="AC24" s="249" t="str">
        <f>IF(AB24="","",IF(AND($Q$63=1,$U$41=$U$40,$U$40=$U$42,$U$42=$U$46,$U$46=$U$54),120,IF(AND($Q$63=2,$U$41=$U$40,$U$40=$U$42,$U$42=$U$46,$U$46=$U$54),60,IF(AND($Q$63=3,$U$41=$U$40,$U$40=$U$42,$U$42=$U$46,$U$46=$U$54),40,""))))</f>
        <v/>
      </c>
      <c r="AD24" s="249" t="str">
        <f>IF(AC24="","",IF(AND($Q$63=1,$U$41=$U$40,$U$40=$U$42,$U$42=$U$46,$U$46=$U$54,$U$38=$U$54),120,IF(AND($Q$63=2,$U$41=$U$40,$U$40=$U$42,$U$42=$U$46,$U$46=$U$54,$U$38=$U$54),60,IF(AND($Q$63=3,$U$41=$U$40,$U$40=$U$42,$U$42=$U$46,$U$46=$U$54,$U$38=$U$54),40,""))))</f>
        <v/>
      </c>
      <c r="AE24" s="250">
        <f t="shared" si="1"/>
        <v>30</v>
      </c>
      <c r="AF24" s="186"/>
      <c r="AG24" s="238"/>
      <c r="AH24" s="238"/>
      <c r="AI24" s="238"/>
      <c r="AJ24" s="238"/>
    </row>
    <row r="25" spans="1:36" s="234" customFormat="1" ht="9.6" customHeight="1">
      <c r="A25" s="239">
        <v>10</v>
      </c>
      <c r="B25" s="251" t="str">
        <f>IF($D25="","",VLOOKUP($D25,'[1]m glavni turnir žrebna lista'!$A$7:$R$38,17))</f>
        <v/>
      </c>
      <c r="C25" s="251" t="str">
        <f>IF($D25="","",VLOOKUP($D25,'[1]m glavni turnir žrebna lista'!$A$7:$R$38,2))</f>
        <v/>
      </c>
      <c r="D25" s="225"/>
      <c r="E25" s="252" t="s">
        <v>3</v>
      </c>
      <c r="F25" s="252" t="str">
        <f>PROPER(IF($D25="","",VLOOKUP($D25,'[1]m glavni turnir žrebna lista'!$A$7:$R$38,4)))</f>
        <v/>
      </c>
      <c r="G25" s="252"/>
      <c r="H25" s="252" t="str">
        <f>IF($D25="","",VLOOKUP($D25,'[1]m glavni turnir žrebna lista'!$A$7:$R$38,5))</f>
        <v/>
      </c>
      <c r="I25" s="253" t="str">
        <f>IF($D25="","",VLOOKUP($D25,'[1]m glavni turnir žrebna lista'!$A$7:$R$38,14))</f>
        <v/>
      </c>
      <c r="J25" s="254"/>
      <c r="K25" s="255"/>
      <c r="L25" s="227"/>
      <c r="M25" s="262"/>
      <c r="N25" s="229"/>
      <c r="O25" s="269"/>
      <c r="P25" s="229"/>
      <c r="Q25" s="269"/>
      <c r="R25" s="233"/>
      <c r="U25" s="180" t="str">
        <f>IF($D25="","",VLOOKUP($D25,'[1]m glavni turnir žrebna lista'!$A$7:$R$38,2))</f>
        <v/>
      </c>
      <c r="V25" s="208">
        <v>19</v>
      </c>
      <c r="W25" s="208" t="str">
        <f>UPPER(IF($D43="","",VLOOKUP($D43,'[1]m glavni turnir žrebna lista'!$A$7:$R$38,3)))</f>
        <v>MANASIJEVIĆ VLADIMIR</v>
      </c>
      <c r="X25" s="208" t="str">
        <f>PROPER(IF($D43="","",VLOOKUP($D43,'[1]m glavni turnir žrebna lista'!$A$7:$R$38,4)))</f>
        <v/>
      </c>
      <c r="Y25" s="209">
        <f t="shared" si="0"/>
        <v>30</v>
      </c>
      <c r="Z25" s="209">
        <f>IF(Y25="","",IF(AND($Q$63=1,U44=U43),30,IF(AND($Q$63=2,U44=U43),15,IF(AND($Q$63=3,U44=U43),10,""))))</f>
        <v>30</v>
      </c>
      <c r="AA25" s="209" t="str">
        <f>IF(Z25="","",IF(AND($Q$63=1,U44=U42,U44=U43),60,IF(AND($Q$63=2,U42=U44,U44=U43),30,IF(AND($Q$63=3,U42=U44,U44=U43),20,""))))</f>
        <v/>
      </c>
      <c r="AB25" s="209" t="str">
        <f>IF(AA25="","",IF(AND($Q$63=1,U46=U42,U42=U44,U44=U43),120,IF(AND($Q$63=2,U46=U42,U42=U44,U44=U43),60,IF(AND($Q$63=3,U46=U42,U42=U44,U44=U43),40,""))))</f>
        <v/>
      </c>
      <c r="AC25" s="209" t="str">
        <f>IF(AB25="","",IF(AND($Q$63=1,$U$43=$U$44,$U$44=$U$42,$U$42=$U$46,$U$46=$U$54),120,IF(AND($Q$63=2,$U$43=$U$44,$U$44=$U$42,$U$42=$U$46,$U$46=$U$54),60,IF(AND($Q$63=3,$U$43=$U$44,$U$44=$U$42,$U$42=$U$46,$U$46=$U$54),40,""))))</f>
        <v/>
      </c>
      <c r="AD25" s="209" t="str">
        <f>IF(AC25="","",IF(AND($Q$63=1,$U$43=$U$44,$U$44=$U$42,$U$42=$U$46,$U$46=$U$54,$U$38=$U$54),120,IF(AND($Q$63=2,$U$43=$U$44,$U$44=$U$42,$U$42=$U$46,$U$46=$U$54,$U$38=$U$54),60,IF(AND($Q$63=3,$U$43=$U$44,$U$44=$U$42,$U$42=$U$46,$U$46=$U$54,$U$38=$U$54),40,""))))</f>
        <v/>
      </c>
      <c r="AE25" s="237">
        <f t="shared" si="1"/>
        <v>60</v>
      </c>
      <c r="AF25" s="186"/>
      <c r="AG25" s="238"/>
      <c r="AH25" s="238"/>
      <c r="AI25" s="238"/>
      <c r="AJ25" s="238"/>
    </row>
    <row r="26" spans="1:36" s="234" customFormat="1" ht="9.6" customHeight="1">
      <c r="A26" s="239"/>
      <c r="B26" s="240"/>
      <c r="C26" s="240"/>
      <c r="D26" s="256"/>
      <c r="E26" s="241"/>
      <c r="F26" s="241"/>
      <c r="G26" s="242"/>
      <c r="H26" s="241"/>
      <c r="I26" s="257"/>
      <c r="J26" s="243" t="s">
        <v>87</v>
      </c>
      <c r="K26" s="258"/>
      <c r="L26" s="259" t="str">
        <f>UPPER(IF(OR(K26="a",K26="as"),J24,IF(OR(K26="b",K26="bs"),J28,)))</f>
        <v/>
      </c>
      <c r="M26" s="260">
        <f>IF(OR(K26="a",K26="as"),K24,IF(OR(K26="b",K26="bs"),K28,))</f>
        <v>0</v>
      </c>
      <c r="N26" s="229"/>
      <c r="O26" s="269"/>
      <c r="P26" s="229"/>
      <c r="Q26" s="269"/>
      <c r="R26" s="233"/>
      <c r="U26" s="180" t="str">
        <f>IF(OR(K26="a",K26="as"),U24,IF(OR(K26="b",K26="bs"),U28,""))</f>
        <v/>
      </c>
      <c r="V26" s="208">
        <v>20</v>
      </c>
      <c r="W26" s="263" t="str">
        <f>UPPER(IF($D45="","",VLOOKUP($D45,'[1]m glavni turnir žrebna lista'!$A$7:$R$38,3)))</f>
        <v/>
      </c>
      <c r="X26" s="263" t="str">
        <f>PROPER(IF($D45="","",VLOOKUP($D45,'[1]m glavni turnir žrebna lista'!$A$7:$R$38,4)))</f>
        <v/>
      </c>
      <c r="Y26" s="249" t="str">
        <f t="shared" si="0"/>
        <v/>
      </c>
      <c r="Z26" s="249" t="str">
        <f>IF(Y26="","",IF(AND($Q$63=1,U45=U44),30,IF(AND($Q$63=2,U45=U44),15,IF(AND($Q$63=3,U45=U44),10,""))))</f>
        <v/>
      </c>
      <c r="AA26" s="249" t="str">
        <f>IF(Z26="","",IF(AND($Q$63=1,U45=U42,U45=U44),60,IF(AND($Q$63=2,U42=U45,U45=U44),30,IF(AND($Q$63=3,U42=U45,U45=U44),20,""))))</f>
        <v/>
      </c>
      <c r="AB26" s="249" t="str">
        <f>IF(AA26="","",IF(AND($Q$63=1,U46=U42,U42=U44,U45=U44),120,IF(AND($Q$63=2,U46=U42,U42=U44,U45=U44),60,IF(AND($Q$63=3,U46=U42,U42=U44,U45=U44),40,""))))</f>
        <v/>
      </c>
      <c r="AC26" s="249" t="str">
        <f>IF(AB26="","",IF(AND($Q$63=1,$U$45=$U$44,$U$44=$U$42,$U$42=$U$46,$U$46=$U$54),120,IF(AND($Q$63=2,$U$45=$U$44,$U$44=$U$42,$U$42=$U$46,$U$46=$U$54),60,IF(AND($Q$63=3,$U$45=$U$44,$U$44=$U$42,$U$42=$U$46,$U$46=$U$54),40,""))))</f>
        <v/>
      </c>
      <c r="AD26" s="249" t="str">
        <f>IF(AC26="","",IF(AND($Q$63=1,$U$45=$U$44,$U$44=$U$42,$U$42=$U$46,$U$46=$U$54,$U$38=$U$54),120,IF(AND($Q$63=2,$U$45=$U$44,$U$44=$U$42,$U$42=$U$46,$U$46=$U$54,$U$38=$U$54),60,IF(AND($Q$63=3,$U$45=$U$44,$U$44=$U$42,$U$42=$U$46,$U$46=$U$54,$U$38=$U$54),40,""))))</f>
        <v/>
      </c>
      <c r="AE26" s="250">
        <f t="shared" si="1"/>
        <v>0</v>
      </c>
      <c r="AF26" s="186"/>
      <c r="AG26" s="238"/>
      <c r="AH26" s="238"/>
      <c r="AI26" s="238"/>
      <c r="AJ26" s="238"/>
    </row>
    <row r="27" spans="1:36" s="234" customFormat="1" ht="9.6" customHeight="1">
      <c r="A27" s="239">
        <v>11</v>
      </c>
      <c r="B27" s="251">
        <f>IF($D27="","",VLOOKUP($D27,'[1]m glavni turnir žrebna lista'!$A$7:$R$38,17))</f>
        <v>0</v>
      </c>
      <c r="C27" s="251">
        <f>IF($D27="","",VLOOKUP($D27,'[1]m glavni turnir žrebna lista'!$A$7:$R$38,2))</f>
        <v>0</v>
      </c>
      <c r="D27" s="225">
        <v>13</v>
      </c>
      <c r="E27" s="252" t="str">
        <f>UPPER(IF($D27="","",VLOOKUP($D27,'[1]m glavni turnir žrebna lista'!$A$7:$R$38,3)))</f>
        <v>SUŠNIK URBAN</v>
      </c>
      <c r="F27" s="252" t="str">
        <f>PROPER(IF($D27="","",VLOOKUP($D27,'[1]m glavni turnir žrebna lista'!$A$7:$R$38,4)))</f>
        <v/>
      </c>
      <c r="G27" s="252"/>
      <c r="H27" s="252">
        <f>IF($D27="","",VLOOKUP($D27,'[1]m glavni turnir žrebna lista'!$A$7:$R$38,5))</f>
        <v>0</v>
      </c>
      <c r="I27" s="226">
        <f>IF($D27="","",VLOOKUP($D27,'[1]m glavni turnir žrebna lista'!$A$7:$R$38,14))</f>
        <v>0</v>
      </c>
      <c r="J27" s="227"/>
      <c r="K27" s="264"/>
      <c r="L27" s="254"/>
      <c r="M27" s="265"/>
      <c r="N27" s="229"/>
      <c r="O27" s="269"/>
      <c r="P27" s="229"/>
      <c r="Q27" s="269"/>
      <c r="R27" s="233"/>
      <c r="U27" s="180">
        <f>IF($D27="","",VLOOKUP($D27,'[1]m glavni turnir žrebna lista'!$A$7:$R$38,2))</f>
        <v>0</v>
      </c>
      <c r="V27" s="208">
        <v>21</v>
      </c>
      <c r="W27" s="208" t="str">
        <f>UPPER(IF($D47="","",VLOOKUP($D47,'[1]m glavni turnir žrebna lista'!$A$7:$R$38,3)))</f>
        <v>LAP JAN</v>
      </c>
      <c r="X27" s="208" t="str">
        <f>PROPER(IF($D47="","",VLOOKUP($D47,'[1]m glavni turnir žrebna lista'!$A$7:$R$38,4)))</f>
        <v/>
      </c>
      <c r="Y27" s="209">
        <f t="shared" si="0"/>
        <v>30</v>
      </c>
      <c r="Z27" s="209">
        <f>IF(Y27="","",IF(AND($Q$63=1,U48=U47),30,IF(AND($Q$63=2,U48=U47),15,IF(AND($Q$63=3,U48=U47),10,""))))</f>
        <v>30</v>
      </c>
      <c r="AA27" s="209" t="str">
        <f>IF(Z27="","",IF(AND($Q$63=1,U50=U48,U48=U47),60,IF(AND($Q$63=2,U50=U48,U48=U47),30,IF(AND($Q$63=3,U50=U48,U48=U47),20,""))))</f>
        <v/>
      </c>
      <c r="AB27" s="209" t="str">
        <f>IF(AA27="","",IF(AND($Q$63=1,U46=U50,U50=U48,U48=U47),120,IF(AND($Q$63=2,U46=U50,U50=U48,U48=U47),60,IF(AND($Q$63=3,U46=U50,U50=U48,U48=U47),40,""))))</f>
        <v/>
      </c>
      <c r="AC27" s="209" t="str">
        <f>IF(AB27="","",IF(AND($Q$63=1,$U$47=$U$48,$U$48=$U$50,$U$50=$U$46,$U$46=$U$54),120,IF(AND($Q$63=2,$U$47=$U$48,$U$48=$U$50,$U$50=$U$46,$U$46=$U$54),60,IF(AND($Q$63=3,$U$47=$U$48,$U$48=$U$50,$U$50=$U$46,$U$46=$U$54),40,""))))</f>
        <v/>
      </c>
      <c r="AD27" s="209" t="str">
        <f>IF(AC27="","",IF(AND($Q$63=1,$U$47=$U$48,$U$48=$U$50,$U$50=$U$46,$U$46=$U$54,$U$38=$U$54),120,IF(AND($Q$63=2,$U$47=$U$48,$U$48=$U$50,$U$50=$U$46,$U$46=$U$54,$U$38=$U$54),60,IF(AND($Q$63=3,$U$47=$U$48,$U$48=$U$50,$U$50=$U$46,$U$46=$U$54,$U$38=$U$54),40,""))))</f>
        <v/>
      </c>
      <c r="AE27" s="237">
        <f t="shared" si="1"/>
        <v>60</v>
      </c>
      <c r="AF27" s="186"/>
      <c r="AG27" s="238"/>
      <c r="AH27" s="238"/>
      <c r="AI27" s="238"/>
      <c r="AJ27" s="238"/>
    </row>
    <row r="28" spans="1:36" s="234" customFormat="1" ht="9.6" customHeight="1">
      <c r="A28" s="275"/>
      <c r="B28" s="240"/>
      <c r="C28" s="240"/>
      <c r="D28" s="256"/>
      <c r="E28" s="241"/>
      <c r="F28" s="241"/>
      <c r="G28" s="242"/>
      <c r="H28" s="243" t="s">
        <v>87</v>
      </c>
      <c r="I28" s="244" t="s">
        <v>88</v>
      </c>
      <c r="J28" s="259" t="str">
        <f>UPPER(IF(OR(I28="a",I28="as"),E27,IF(OR(I28="b",I28="bs"),E29,)))</f>
        <v>SUŠNIK URBAN</v>
      </c>
      <c r="K28" s="266">
        <f>IF(OR(I28="a",I28="as"),I27,IF(OR(I28="b",I28="bs"),I29,))</f>
        <v>0</v>
      </c>
      <c r="L28" s="227"/>
      <c r="M28" s="265"/>
      <c r="N28" s="229"/>
      <c r="O28" s="269"/>
      <c r="P28" s="229"/>
      <c r="Q28" s="269"/>
      <c r="R28" s="233"/>
      <c r="U28" s="180">
        <f>IF(OR(I28="a",I28="as"),C27,IF(OR(I28="b",I28="bs"),C29,""))</f>
        <v>0</v>
      </c>
      <c r="V28" s="208">
        <v>22</v>
      </c>
      <c r="W28" s="263" t="str">
        <f>UPPER(IF($D49="","",VLOOKUP($D49,'[1]m glavni turnir žrebna lista'!$A$7:$R$38,3)))</f>
        <v/>
      </c>
      <c r="X28" s="263" t="str">
        <f>PROPER(IF($D49="","",VLOOKUP($D49,'[1]m glavni turnir žrebna lista'!$A$7:$R$38,4)))</f>
        <v/>
      </c>
      <c r="Y28" s="249" t="str">
        <f t="shared" si="0"/>
        <v/>
      </c>
      <c r="Z28" s="249" t="str">
        <f>IF(Y28="","",IF(AND($Q$63=1,U49=U48),30,IF(AND($Q$63=2,U49=U48),15,IF(AND($Q$63=3,U49=U48),10,""))))</f>
        <v/>
      </c>
      <c r="AA28" s="249" t="str">
        <f>IF(Z28="","",IF(AND($Q$63=1,U50=U49,U49=U48),60,IF(AND($Q$63=2,U50=U49,U49=U48),30,IF(AND($Q$63=3,U50=U49,U49=U48),20,""))))</f>
        <v/>
      </c>
      <c r="AB28" s="249" t="str">
        <f>IF(AA28="","",IF(AND($Q$63=1,U46=U50,U50=U48,U49=U48),120,IF(AND($Q$63=2,U46=U50,U50=U48,U48=U49),60,IF(AND($Q$63=3,U46=U50,U50=U48,U49=U48),40,""))))</f>
        <v/>
      </c>
      <c r="AC28" s="249" t="str">
        <f>IF(AB28="","",IF(AND($Q$63=1,$U$49=$U$48,$U$48=$U$50,$U$50=$U$46,$U$46=$U$54),120,IF(AND($Q$63=2,$U$49=$U$48,$U$48=$U$50,$U$50=$U$46,$U$46=$U$54),60,IF(AND($Q$63=3,$U$49=$U$48,$U$48=$U$50,$U$50=$U$46,$U$46=$U$54),40,""))))</f>
        <v/>
      </c>
      <c r="AD28" s="249" t="str">
        <f>IF(AC28="","",IF(AND($Q$63=1,$U$49=$U$48,$U$48=$U$50,$U$50=$U$46,$U$46=$U$54,$U$38=$U$54),120,IF(AND($Q$63=2,$U$49=$U$48,$U$48=$U$50,$U$50=$U$46,$U$46=$U$54,$U$38=$U$54),60,IF(AND($Q$63=3,$U$49=$U$48,$U$48=$U$50,$U$50=$U$46,$U$46=$U$54,$U$38=$U$54),40,""))))</f>
        <v/>
      </c>
      <c r="AE28" s="250">
        <f t="shared" si="1"/>
        <v>0</v>
      </c>
      <c r="AF28" s="186"/>
      <c r="AG28" s="238"/>
      <c r="AH28" s="238"/>
      <c r="AI28" s="238"/>
      <c r="AJ28" s="238"/>
    </row>
    <row r="29" spans="1:36" s="234" customFormat="1" ht="9.6" customHeight="1">
      <c r="A29" s="239">
        <v>12</v>
      </c>
      <c r="B29" s="251" t="str">
        <f>IF($D29="","",VLOOKUP($D29,'[1]m glavni turnir žrebna lista'!$A$7:$R$38,17))</f>
        <v/>
      </c>
      <c r="C29" s="251" t="str">
        <f>IF($D29="","",VLOOKUP($D29,'[1]m glavni turnir žrebna lista'!$A$7:$R$38,2))</f>
        <v/>
      </c>
      <c r="D29" s="225"/>
      <c r="E29" s="252" t="s">
        <v>3</v>
      </c>
      <c r="F29" s="252" t="str">
        <f>PROPER(IF($D29="","",VLOOKUP($D29,'[1]m glavni turnir žrebna lista'!$A$7:$R$38,4)))</f>
        <v/>
      </c>
      <c r="G29" s="252"/>
      <c r="H29" s="252" t="str">
        <f>IF($D29="","",VLOOKUP($D29,'[1]m glavni turnir žrebna lista'!$A$7:$R$38,5))</f>
        <v/>
      </c>
      <c r="I29" s="253" t="str">
        <f>IF($D29="","",VLOOKUP($D29,'[1]m glavni turnir žrebna lista'!$A$7:$R$38,14))</f>
        <v/>
      </c>
      <c r="J29" s="254"/>
      <c r="K29" s="228">
        <f>IF(OR(I29="a",I29="as"),I28,IF(OR(I29="b",I29="bs"),I30,))</f>
        <v>0</v>
      </c>
      <c r="L29" s="227"/>
      <c r="M29" s="265"/>
      <c r="N29" s="229"/>
      <c r="O29" s="269"/>
      <c r="P29" s="229"/>
      <c r="Q29" s="269"/>
      <c r="R29" s="233"/>
      <c r="U29" s="180" t="str">
        <f>IF($D29="","",VLOOKUP($D29,'[1]m glavni turnir žrebna lista'!$A$7:$R$38,2))</f>
        <v/>
      </c>
      <c r="V29" s="208">
        <v>23</v>
      </c>
      <c r="W29" s="208" t="str">
        <f>UPPER(IF($D51="","",VLOOKUP($D51,'[1]m glavni turnir žrebna lista'!$A$7:$R$38,3)))</f>
        <v/>
      </c>
      <c r="X29" s="208" t="str">
        <f>PROPER(IF($D51="","",VLOOKUP($D51,'[1]m glavni turnir žrebna lista'!$A$7:$R$38,4)))</f>
        <v/>
      </c>
      <c r="Y29" s="209" t="str">
        <f t="shared" si="0"/>
        <v/>
      </c>
      <c r="Z29" s="209" t="str">
        <f>IF(Y29="","",IF(AND($Q$63=1,U52=U51),30,IF(AND($Q$63=2,U52=U51),15,IF(AND($Q$63=3,U52=U51),10,""))))</f>
        <v/>
      </c>
      <c r="AA29" s="209" t="str">
        <f>IF(Z29="","",IF(AND($Q$63=1,U51=U50,U50=U52),60,IF(AND($Q$63=2,U51=U50,U50=U52),30,IF(AND($Q$63=3,U51=U50,U50=U52),20,""))))</f>
        <v/>
      </c>
      <c r="AB29" s="209" t="str">
        <f>IF(AA29="","",IF(AND($Q$63=1,U46=U50,U50=U52,U52=U51),120,IF(AND($Q$63=2,U46=U50,U50=U52,U52=U51),60,IF(AND($Q$63=3,U46=U50,U50=U52,U52=U51),40,""))))</f>
        <v/>
      </c>
      <c r="AC29" s="209" t="str">
        <f>IF(AB29="","",IF(AND($Q$63=1,$U$51=$U$52,$U$52=$U$50,$U$50=$U$46,$U$46=$U$54),120,IF(AND($Q$63=2,$U$51=$U$52,$U$52=$U$50,$U$50=$U$46,$U$46=$U$54),60,IF(AND($Q$63=3,$U$51=$U$52,$U$52=$U$50,$U$50=$U$46,$U$46=$U$54),40,""))))</f>
        <v/>
      </c>
      <c r="AD29" s="209" t="str">
        <f>IF(AC29="","",IF(AND($Q$63=1,$U$51=$U$52,$U$52=$U$50,$U$50=$U$46,$U$46=$U$54,$U$38=$U$54),120,IF(AND($Q$63=2,$U$51=$U$52,$U$52=$U$50,$U$50=$U$46,$U$46=$U$54,$U$38=$U$54),60,IF(AND($Q$63=3,$U$51=$U$52,$U$52=$U$50,$U$50=$U$46,$U$46=$U$54,$U$38=$U$54),40,""))))</f>
        <v/>
      </c>
      <c r="AE29" s="237">
        <f t="shared" si="1"/>
        <v>0</v>
      </c>
      <c r="AF29" s="186"/>
      <c r="AG29" s="238"/>
      <c r="AH29" s="238"/>
      <c r="AI29" s="238"/>
      <c r="AJ29" s="238"/>
    </row>
    <row r="30" spans="1:36" s="234" customFormat="1" ht="9.6" customHeight="1">
      <c r="A30" s="239"/>
      <c r="B30" s="240"/>
      <c r="C30" s="240"/>
      <c r="D30" s="256"/>
      <c r="E30" s="227"/>
      <c r="F30" s="227"/>
      <c r="G30" s="267"/>
      <c r="H30" s="268"/>
      <c r="I30" s="257"/>
      <c r="J30" s="227"/>
      <c r="K30" s="228"/>
      <c r="L30" s="243" t="s">
        <v>87</v>
      </c>
      <c r="M30" s="258"/>
      <c r="N30" s="259" t="str">
        <f>UPPER(IF(OR(M30="a",M30="as"),L26,IF(OR(M30="b",M30="bs"),L34,)))</f>
        <v/>
      </c>
      <c r="O30" s="276">
        <f>IF(OR(M30="a",M30="as"),M26,IF(OR(M30="b",M30="bs"),M34,))</f>
        <v>0</v>
      </c>
      <c r="P30" s="229"/>
      <c r="Q30" s="269"/>
      <c r="R30" s="233"/>
      <c r="U30" s="180" t="str">
        <f>IF(OR(M30="a",M30="as"),U26,IF(OR(M30="b",M30="bs"),U34,""))</f>
        <v/>
      </c>
      <c r="V30" s="208">
        <v>24</v>
      </c>
      <c r="W30" s="263" t="str">
        <f>UPPER(IF($D53="","",VLOOKUP($D53,'[1]m glavni turnir žrebna lista'!$A$7:$R$38,3)))</f>
        <v>PEVC PETER</v>
      </c>
      <c r="X30" s="263" t="str">
        <f>PROPER(IF($D53="","",VLOOKUP($D53,'[1]m glavni turnir žrebna lista'!$A$7:$R$38,4)))</f>
        <v>4</v>
      </c>
      <c r="Y30" s="249">
        <f t="shared" si="0"/>
        <v>30</v>
      </c>
      <c r="Z30" s="249" t="str">
        <f>IF(Y30="","",IF(AND($Q$63=1,U53=U52),30,IF(AND($Q$63=2,U53=U52),15,IF(AND($Q$63=3,U53=U52),10,""))))</f>
        <v/>
      </c>
      <c r="AA30" s="249" t="str">
        <f>IF(Z30="","",IF(AND($Q$63=1,U52=U50,U52=U53),60,IF(AND($Q$63=2,U52=U50,U52=U53),30,IF(AND($Q$63=3,U52=U50,U52=U53),20,""))))</f>
        <v/>
      </c>
      <c r="AB30" s="249" t="str">
        <f>IF(AA30="","",IF(AND($Q$63=1,U46=U50,U50=U52,U53=U52),120,IF(AND($Q$63=2,U46=U50,U50=U52,U53=U52),60,IF(AND($Q$63=3,U46=U50,U50=U52,U53=U52),40,""))))</f>
        <v/>
      </c>
      <c r="AC30" s="249" t="str">
        <f>IF(AB30="","",IF(AND($Q$63=1,$U$53=$U$52,$U$52=$U$50,$U$50=$U$46,$U$46=$U$54),120,IF(AND($Q$63=2,$U$53=$U$52,$U$52=$U$50,$U$50=$U$46,$U$46=$U$54),60,IF(AND($Q$63=3,$U$53=$U$52,$U$52=$U$50,$U$50=$U$46,$U$46=$U$54),40,""))))</f>
        <v/>
      </c>
      <c r="AD30" s="249" t="str">
        <f>IF(AC30="","",IF(AND($Q$63=1,$U$53=$U$52,$U$52=$U$50,$U$50=$U$46,$U$46=$U$54,$U$38=$U$54),120,IF(AND($Q$63=2,$U$53=$U$52,$U$52=$U$50,$U$50=$U$46,$U$46=$U$54,$U$38=$U$54),60,IF(AND($Q$63=3,$U$53=$U$52,$U$52=$U$50,$U$50=$U$46,$U$46=$U$54,$U$38=$U$54),40,""))))</f>
        <v/>
      </c>
      <c r="AE30" s="250">
        <f t="shared" si="1"/>
        <v>30</v>
      </c>
      <c r="AF30" s="186"/>
      <c r="AG30" s="238"/>
      <c r="AH30" s="238"/>
      <c r="AI30" s="238"/>
      <c r="AJ30" s="238"/>
    </row>
    <row r="31" spans="1:36" s="234" customFormat="1" ht="9.6" customHeight="1">
      <c r="A31" s="239">
        <v>13</v>
      </c>
      <c r="B31" s="251">
        <f>IF($D31="","",VLOOKUP($D31,'[1]m glavni turnir žrebna lista'!$A$7:$R$38,17))</f>
        <v>0</v>
      </c>
      <c r="C31" s="251">
        <f>IF($D31="","",VLOOKUP($D31,'[1]m glavni turnir žrebna lista'!$A$7:$R$38,2))</f>
        <v>0</v>
      </c>
      <c r="D31" s="225">
        <v>14</v>
      </c>
      <c r="E31" s="252" t="str">
        <f>UPPER(IF($D31="","",VLOOKUP($D31,'[1]m glavni turnir žrebna lista'!$A$7:$R$38,3)))</f>
        <v>ZAJEC GABER</v>
      </c>
      <c r="F31" s="252" t="str">
        <f>PROPER(IF($D31="","",VLOOKUP($D31,'[1]m glavni turnir žrebna lista'!$A$7:$R$38,4)))</f>
        <v/>
      </c>
      <c r="G31" s="252"/>
      <c r="H31" s="252">
        <f>IF($D31="","",VLOOKUP($D31,'[1]m glavni turnir žrebna lista'!$A$7:$R$38,5))</f>
        <v>0</v>
      </c>
      <c r="I31" s="226">
        <f>IF($D31="","",VLOOKUP($D31,'[1]m glavni turnir žrebna lista'!$A$7:$R$38,14))</f>
        <v>0</v>
      </c>
      <c r="J31" s="227"/>
      <c r="K31" s="228"/>
      <c r="L31" s="227"/>
      <c r="M31" s="265"/>
      <c r="N31" s="254"/>
      <c r="O31" s="230"/>
      <c r="P31" s="229"/>
      <c r="Q31" s="269"/>
      <c r="R31" s="233"/>
      <c r="U31" s="180">
        <f>IF($D31="","",VLOOKUP($D31,'[1]m glavni turnir žrebna lista'!$A$7:$R$38,2))</f>
        <v>0</v>
      </c>
      <c r="V31" s="208">
        <v>25</v>
      </c>
      <c r="W31" s="208" t="str">
        <f>UPPER(IF($D55="","",VLOOKUP($D55,'[1]m glavni turnir žrebna lista'!$A$7:$R$38,3)))</f>
        <v>ZALAR TILEN</v>
      </c>
      <c r="X31" s="208" t="str">
        <f>PROPER(IF($D55="","",VLOOKUP($D55,'[1]m glavni turnir žrebna lista'!$A$7:$R$38,4)))</f>
        <v/>
      </c>
      <c r="Y31" s="209">
        <f t="shared" si="0"/>
        <v>30</v>
      </c>
      <c r="Z31" s="209">
        <f>IF(Y31="","",IF(AND($Q$63=1,U56=U55),30,IF(AND($Q$63=2,U56=U55),15,IF(AND($Q$63=3,U56=U55),10,""))))</f>
        <v>30</v>
      </c>
      <c r="AA31" s="209" t="str">
        <f>IF(Z31="","",IF(AND($Q$63=1,U55=U56,U56=U58),60,IF(AND($Q$63=2,U55=U56,U56=U58),30,IF(AND($Q$63=3,U55=U56,U56=U58),20,""))))</f>
        <v/>
      </c>
      <c r="AB31" s="209" t="str">
        <f>IF(AA31="","",IF(AND($Q$63=1,U62=U58,U58=U56,U56=U55),120,IF(AND($Q$63=2,U62=U58,U58=U56,U56=U55),60,IF(AND($Q$63=3,U62=U58,U58=U56,U56=U55),40,""))))</f>
        <v/>
      </c>
      <c r="AC31" s="209" t="str">
        <f>IF(AB31="","",IF(AND($Q$63=1,$U$55=$U$56,$U$56=$U$58,$U$58=$U$62,$U$62=$U$54),120,IF(AND($Q$63=2,$U$55=$U$56,$U$56=$U$58,$U$58=$U$62,$U$62=$U$54),60,IF(AND($Q$63=3,$U$55=$U$56,$U$56=$U$58,$U$58=$U$62,$U$62=$U$54),40,""))))</f>
        <v/>
      </c>
      <c r="AD31" s="209" t="str">
        <f>IF(AC31="","",IF(AND($Q$63=1,$U$55=$U$56,$U$56=$U$58,$U$58=$U$62,$U$62=$U$54,$U$38=$U$54),120,IF(AND($Q$63=2,$U$55=$U$56,$U$56=$U$58,$U$58=$U$62,$U$62=$U$54,$U$38=$U$54),60,IF(AND($Q$63=3,$U$55=$U$56,$U$56=$U$58,$U$58=$U$62,$U$62=$U$54,$U$38=$U$54),40,""))))</f>
        <v/>
      </c>
      <c r="AE31" s="237">
        <f t="shared" si="1"/>
        <v>60</v>
      </c>
      <c r="AF31" s="186"/>
      <c r="AG31" s="238"/>
      <c r="AH31" s="238"/>
      <c r="AI31" s="238"/>
      <c r="AJ31" s="238"/>
    </row>
    <row r="32" spans="1:36" s="234" customFormat="1" ht="9.6" customHeight="1">
      <c r="A32" s="239"/>
      <c r="B32" s="240"/>
      <c r="C32" s="240"/>
      <c r="D32" s="256"/>
      <c r="E32" s="241"/>
      <c r="F32" s="241"/>
      <c r="G32" s="242"/>
      <c r="H32" s="243" t="s">
        <v>87</v>
      </c>
      <c r="I32" s="244" t="s">
        <v>88</v>
      </c>
      <c r="J32" s="259" t="str">
        <f>UPPER(IF(OR(I32="a",I32="as"),E31,IF(OR(I32="b",I32="bs"),E33,)))</f>
        <v>ZAJEC GABER</v>
      </c>
      <c r="K32" s="246">
        <f>IF(OR(I32="a",I32="as"),I31,IF(OR(I32="b",I32="bs"),I33,))</f>
        <v>0</v>
      </c>
      <c r="L32" s="227"/>
      <c r="M32" s="265"/>
      <c r="N32" s="229"/>
      <c r="O32" s="230"/>
      <c r="P32" s="229"/>
      <c r="Q32" s="269"/>
      <c r="R32" s="233"/>
      <c r="U32" s="180">
        <f>IF(OR(I32="a",I32="as"),C31,IF(OR(I32="b",I32="bs"),C33,""))</f>
        <v>0</v>
      </c>
      <c r="V32" s="208">
        <v>26</v>
      </c>
      <c r="W32" s="263" t="str">
        <f>UPPER(IF($D57="","",VLOOKUP($D57,'[1]m glavni turnir žrebna lista'!$A$7:$R$38,3)))</f>
        <v/>
      </c>
      <c r="X32" s="263" t="str">
        <f>PROPER(IF($D57="","",VLOOKUP($D57,'[1]m glavni turnir žrebna lista'!$A$7:$R$38,4)))</f>
        <v/>
      </c>
      <c r="Y32" s="249" t="str">
        <f t="shared" si="0"/>
        <v/>
      </c>
      <c r="Z32" s="249" t="str">
        <f>IF(Y32="","",IF(AND($Q$63=1,U57=U56),30,IF(AND($Q$63=2,U57=U56),15,IF(AND($Q$63=3,U57=U56),10,""))))</f>
        <v/>
      </c>
      <c r="AA32" s="249" t="str">
        <f>IF(Z32="","",IF(AND($Q$63=1,U56=U57,U57=U58),60,IF(AND($Q$63=2,U56=U57,U57=U58),30,IF(AND($Q$63=3,U56=U57,U57=U58),20,""))))</f>
        <v/>
      </c>
      <c r="AB32" s="249" t="str">
        <f>IF(AA32="","",IF(AND($Q$63=1,U62=U58,U58=U56,U56=U57),120,IF(AND($Q$63=2,U62=U58,U58=U56,U56=U57),60,IF(AND($Q$63=3,U62=U58,U58=U56,U56=U57),40,""))))</f>
        <v/>
      </c>
      <c r="AC32" s="249" t="str">
        <f>IF(AB32="","",IF(AND($Q$63=1,$U$57=$U$56,$U$56=$U$58,$U$58=$U$62,$U$62=$U$54),120,IF(AND($Q$63=2,$U$57=$U$56,$U$56=$U$58,$U$58=$U$62,$U$62=$U$54),60,IF(AND($Q$63=3,$U$57=$U$56,$U$56=$U$58,$U$58=$U$62,$U$62=$U$54),40,""))))</f>
        <v/>
      </c>
      <c r="AD32" s="249" t="str">
        <f>IF(AC32="","",IF(AND($Q$63=1,$U$57=$U$56,$U$56=$U$58,$U$58=$U$62,$U$62=$U$54,$U$38=$U$54),120,IF(AND($Q$63=2,$U$57=$U$56,$U$56=$U$58,$U$58=$U$62,$U$62=$U$54,$U$38=$U$54),60,IF(AND($Q$63=3,$U$57=$U$56,$U$56=$U$58,$U$58=$U$62,$U$62=$U$54,$U$38=$U$54),40,""))))</f>
        <v/>
      </c>
      <c r="AE32" s="250">
        <f t="shared" si="1"/>
        <v>0</v>
      </c>
      <c r="AF32" s="186"/>
      <c r="AG32" s="238"/>
      <c r="AH32" s="238"/>
      <c r="AI32" s="238"/>
      <c r="AJ32" s="238"/>
    </row>
    <row r="33" spans="1:36" s="234" customFormat="1" ht="9.6" customHeight="1">
      <c r="A33" s="239">
        <v>14</v>
      </c>
      <c r="B33" s="251" t="str">
        <f>IF($D33="","",VLOOKUP($D33,'[1]m glavni turnir žrebna lista'!$A$7:$R$38,17))</f>
        <v/>
      </c>
      <c r="C33" s="251" t="str">
        <f>IF($D33="","",VLOOKUP($D33,'[1]m glavni turnir žrebna lista'!$A$7:$R$38,2))</f>
        <v/>
      </c>
      <c r="D33" s="225"/>
      <c r="E33" s="252" t="s">
        <v>3</v>
      </c>
      <c r="F33" s="252" t="str">
        <f>PROPER(IF($D33="","",VLOOKUP($D33,'[1]m glavni turnir žrebna lista'!$A$7:$R$38,4)))</f>
        <v/>
      </c>
      <c r="G33" s="252"/>
      <c r="H33" s="252" t="str">
        <f>IF($D33="","",VLOOKUP($D33,'[1]m glavni turnir žrebna lista'!$A$7:$R$38,5))</f>
        <v/>
      </c>
      <c r="I33" s="253" t="str">
        <f>IF($D33="","",VLOOKUP($D33,'[1]m glavni turnir žrebna lista'!$A$7:$R$38,14))</f>
        <v/>
      </c>
      <c r="J33" s="254"/>
      <c r="K33" s="255"/>
      <c r="L33" s="227"/>
      <c r="M33" s="265"/>
      <c r="N33" s="229"/>
      <c r="O33" s="230"/>
      <c r="P33" s="229"/>
      <c r="Q33" s="269"/>
      <c r="R33" s="233"/>
      <c r="U33" s="180" t="str">
        <f>IF($D33="","",VLOOKUP($D33,'[1]m glavni turnir žrebna lista'!$A$7:$R$38,2))</f>
        <v/>
      </c>
      <c r="V33" s="208">
        <v>27</v>
      </c>
      <c r="W33" s="208" t="str">
        <f>UPPER(IF($D59="","",VLOOKUP($D59,'[1]m glavni turnir žrebna lista'!$A$7:$R$38,3)))</f>
        <v>BIŠČAK URBAN</v>
      </c>
      <c r="X33" s="208" t="str">
        <f>PROPER(IF($D59="","",VLOOKUP($D59,'[1]m glavni turnir žrebna lista'!$A$7:$R$38,4)))</f>
        <v/>
      </c>
      <c r="Y33" s="209">
        <f t="shared" si="0"/>
        <v>30</v>
      </c>
      <c r="Z33" s="209">
        <f>IF(Y33="","",IF(AND($Q$63=1,U60=U59),30,IF(AND($Q$63=2,U60=U59),15,IF(AND($Q$63=3,U60=U59),10,""))))</f>
        <v>30</v>
      </c>
      <c r="AA33" s="209" t="str">
        <f>IF(Z33="","",IF(AND($Q$63=1,U60=U58,U58=U59),60,IF(AND($Q$63=2,U60=U58,U58=U59),30,IF(AND($Q$63=3,U60=U58,U58=U59),20,""))))</f>
        <v/>
      </c>
      <c r="AB33" s="209" t="str">
        <f>IF(AA33="","",IF(AND($Q$63=1,U62=U58,U58=U60,U60=U59),120,IF(AND($Q$63=2,U62=U58,U58=U60,U60=U59),60,IF(AND($Q$63=3,U62=U58,U58=U60,U60=U59),40,""))))</f>
        <v/>
      </c>
      <c r="AC33" s="209" t="str">
        <f>IF(AB33="","",IF(AND($Q$63=1,$U$59=$U$60,$U$60=$U$58,$U$58=$U$62,$U$62=$U$54),120,IF(AND($Q$63=2,$U$59=$U$60,$U$60=$U$58,$U$58=$U$62,$U$62=$U$54),60,IF(AND($Q$63=3,$U$59=$U$60,$U$60=$U$58,$U$58=$U$62,$U$62=$U$54),40,""))))</f>
        <v/>
      </c>
      <c r="AD33" s="209" t="str">
        <f>IF(AC33="","",IF(AND($Q$63=1,$U$59=$U$60,$U$60=$U$58,$U$58=$U$62,$U$62=$U$54,$U$38=$U$54),120,IF(AND($Q$63=2,$U$59=$U$60,$U$60=$U$58,$U$58=$U$62,$U$62=$U$54,$U$38=$U$54),60,IF(AND($Q$63=3,$U$59=$U$60,$U$60=$U$58,$U$58=$U$62,$U$62=$U$54,$U$38=$U$54),40,""))))</f>
        <v/>
      </c>
      <c r="AE33" s="237">
        <f t="shared" si="1"/>
        <v>60</v>
      </c>
      <c r="AF33" s="186"/>
      <c r="AG33" s="238"/>
      <c r="AH33" s="238"/>
      <c r="AI33" s="238"/>
      <c r="AJ33" s="238"/>
    </row>
    <row r="34" spans="1:36" s="234" customFormat="1" ht="9.6" customHeight="1">
      <c r="A34" s="239"/>
      <c r="B34" s="240"/>
      <c r="C34" s="240"/>
      <c r="D34" s="256"/>
      <c r="E34" s="241"/>
      <c r="F34" s="241"/>
      <c r="G34" s="242"/>
      <c r="H34" s="227"/>
      <c r="I34" s="257"/>
      <c r="J34" s="243" t="s">
        <v>87</v>
      </c>
      <c r="K34" s="258" t="s">
        <v>89</v>
      </c>
      <c r="L34" s="259" t="str">
        <f>UPPER(IF(OR(K34="a",K34="as"),J32,IF(OR(K34="b",K34="bs"),J36,)))</f>
        <v>OGRIČ MIHA</v>
      </c>
      <c r="M34" s="271">
        <f>IF(OR(K34="a",K34="as"),K32,IF(OR(K34="b",K34="bs"),K36,))</f>
        <v>0</v>
      </c>
      <c r="N34" s="229"/>
      <c r="O34" s="230"/>
      <c r="P34" s="229"/>
      <c r="Q34" s="269"/>
      <c r="R34" s="233"/>
      <c r="U34" s="180">
        <f>IF(OR(K34="a",K34="as"),U32,IF(OR(K34="b",K34="bs"),U36,""))</f>
        <v>0</v>
      </c>
      <c r="V34" s="208">
        <v>28</v>
      </c>
      <c r="W34" s="263" t="str">
        <f>UPPER(IF($D61="","",VLOOKUP($D61,'[1]m glavni turnir žrebna lista'!$A$7:$R$38,3)))</f>
        <v/>
      </c>
      <c r="X34" s="263" t="str">
        <f>PROPER(IF($D61="","",VLOOKUP($D61,'[1]m glavni turnir žrebna lista'!$A$7:$R$38,4)))</f>
        <v/>
      </c>
      <c r="Y34" s="249" t="str">
        <f t="shared" si="0"/>
        <v/>
      </c>
      <c r="Z34" s="249" t="str">
        <f>IF(Y34="","",IF(AND($Q$63=1,U61=U60),30,IF(AND($Q$63=2,U61=U60),15,IF(AND($Q$63=3,U61=U60),10,""))))</f>
        <v/>
      </c>
      <c r="AA34" s="249" t="str">
        <f>IF(Z34="","",IF(AND($Q$63=1,U61=U58,U58=U60),60,IF(AND($Q$63=2,U61=U58,U58=U60),30,IF(AND($Q$63=3,U61=U58,U58=U60),20,""))))</f>
        <v/>
      </c>
      <c r="AB34" s="249" t="str">
        <f>IF(AA34="","",IF(AND($Q$63=1,U62=U58,U58=U60,U60=U61),120,IF(AND($Q$63=2,U62=U58,U58=U60,U60=U61),60,IF(AND($Q$63=3,U62=U58,U58=U60,U60=U61),40,""))))</f>
        <v/>
      </c>
      <c r="AC34" s="249" t="str">
        <f>IF(AB34="","",IF(AND($Q$63=1,$U$61=$U$60,$U$60=$U$58,$U$58=$U$62,$U$62=$U$54),120,IF(AND($Q$63=2,$U$61=$U$60,$U$60=$U$58,$U$58=$U$62,$U$62=$U$54),60,IF(AND($Q$63=3,$U$61=$U$60,$U$60=$U$58,$U$58=$U$62,$U$62=$U$54),40,""))))</f>
        <v/>
      </c>
      <c r="AD34" s="249" t="str">
        <f>IF(AC34="","",IF(AND($Q$63=1,$U$61=$U$60,$U$60=$U$58,$U$58=$U$62,$U$62=$U$54,$U$38=$U$54),120,IF(AND($Q$63=2,$U$61=$U$60,$U$60=$U$58,$U$58=$U$62,$U$62=$U$54,$U$38=$U$54),60,IF(AND($Q$63=3,$U$61=$U$60,$U$60=$U$58,$U$58=$U$62,$U$62=$U$54,$U$38=$U$54),40,""))))</f>
        <v/>
      </c>
      <c r="AE34" s="250">
        <f t="shared" si="1"/>
        <v>0</v>
      </c>
      <c r="AF34" s="186"/>
      <c r="AG34" s="238"/>
      <c r="AH34" s="238"/>
      <c r="AI34" s="238"/>
      <c r="AJ34" s="238"/>
    </row>
    <row r="35" spans="1:36" s="234" customFormat="1" ht="9.6" customHeight="1">
      <c r="A35" s="239">
        <v>15</v>
      </c>
      <c r="B35" s="251">
        <f>IF($D35="","",VLOOKUP($D35,'[1]m glavni turnir žrebna lista'!$A$7:$R$38,17))</f>
        <v>0</v>
      </c>
      <c r="C35" s="251">
        <f>IF($D35="","",VLOOKUP($D35,'[1]m glavni turnir žrebna lista'!$A$7:$R$38,2))</f>
        <v>0</v>
      </c>
      <c r="D35" s="225">
        <v>11</v>
      </c>
      <c r="E35" s="252" t="str">
        <f>UPPER(IF($D35="","",VLOOKUP($D35,'[1]m glavni turnir žrebna lista'!$A$7:$R$38,3)))</f>
        <v>OGRIČ MIHA</v>
      </c>
      <c r="F35" s="252" t="str">
        <f>PROPER(IF($D35="","",VLOOKUP($D35,'[1]m glavni turnir žrebna lista'!$A$7:$R$38,4)))</f>
        <v/>
      </c>
      <c r="G35" s="252"/>
      <c r="H35" s="252">
        <f>IF($D35="","",VLOOKUP($D35,'[1]m glavni turnir žrebna lista'!$A$7:$R$38,5))</f>
        <v>0</v>
      </c>
      <c r="I35" s="226">
        <f>IF($D35="","",VLOOKUP($D35,'[1]m glavni turnir žrebna lista'!$A$7:$R$38,14))</f>
        <v>0</v>
      </c>
      <c r="J35" s="227"/>
      <c r="K35" s="264"/>
      <c r="L35" s="254" t="s">
        <v>90</v>
      </c>
      <c r="M35" s="262"/>
      <c r="N35" s="229"/>
      <c r="O35" s="230"/>
      <c r="P35" s="229"/>
      <c r="Q35" s="269"/>
      <c r="R35" s="233"/>
      <c r="U35" s="180">
        <f>IF($D35="","",VLOOKUP($D35,'[1]m glavni turnir žrebna lista'!$A$7:$R$38,2))</f>
        <v>0</v>
      </c>
      <c r="V35" s="208">
        <v>29</v>
      </c>
      <c r="W35" s="208" t="str">
        <f>UPPER(IF($D63="","",VLOOKUP($D63,'[1]m glavni turnir žrebna lista'!$A$7:$R$38,3)))</f>
        <v>BREULJ ROK</v>
      </c>
      <c r="X35" s="208" t="str">
        <f>PROPER(IF($D63="","",VLOOKUP($D63,'[1]m glavni turnir žrebna lista'!$A$7:$R$38,4)))</f>
        <v/>
      </c>
      <c r="Y35" s="209">
        <f t="shared" si="0"/>
        <v>30</v>
      </c>
      <c r="Z35" s="209">
        <f>IF(Y35="","",IF(AND($Q$63=1,U64=U63),30,IF(AND($Q$63=2,U64=U63),15,IF(AND($Q$63=3,U64=U63),10,""))))</f>
        <v>30</v>
      </c>
      <c r="AA35" s="209" t="str">
        <f>IF(Z35="","",IF(AND($Q$63=1,U63=U64,U64=U66),60,IF(AND($Q$63=2,U63=U64,U64=U66),30,IF(AND($Q$63=3,U63=U64,U64=U66),20,""))))</f>
        <v/>
      </c>
      <c r="AB35" s="209" t="str">
        <f>IF(AA35="","",IF(AND($Q$63=1,U62=U66,U66=U64,U64=U63),120,IF(AND($Q$63=2,U62=U66,U66=U64,U64=U63),60,IF(AND($Q$63=3,U62=U66,U66=U64,U64=U63),40,""))))</f>
        <v/>
      </c>
      <c r="AC35" s="209" t="str">
        <f>IF(AB35="","",IF(AND($Q$63=1,$U$63=$U$64,$U$64=$U$66,$U$66=$U$62,$U$62=$U$54),120,IF(AND($Q$63=2,$U$63=$U$64,$U$64=$U$66,$U$66=$U$62,$U$62=$U$54),60,IF(AND($Q$63=3,$U$63=$U$64,$U$64=$U$66,$U$66=$U$62,$U$62=$U$54),40,""))))</f>
        <v/>
      </c>
      <c r="AD35" s="209" t="str">
        <f>IF(AC35="","",IF(AND($Q$63=1,$U$63=$U$64,$U$64=$U$66,$U$66=$U$62,$U$62=$U$54,$U$38=$U$54),120,IF(AND($Q$63=2,$U$63=$U$64,$U$64=$U$66,$U$66=$U$62,$U$62=$U$54,$U$38=$U$54),60,IF(AND($Q$63=3,$U$63=$U$64,$U$64=$U$66,$U$66=$U$62,$U$62=$U$54,$U$38=$U$54),40,""))))</f>
        <v/>
      </c>
      <c r="AE35" s="237">
        <f t="shared" si="1"/>
        <v>60</v>
      </c>
      <c r="AF35" s="186"/>
      <c r="AG35" s="238"/>
      <c r="AH35" s="238"/>
      <c r="AI35" s="238"/>
      <c r="AJ35" s="238"/>
    </row>
    <row r="36" spans="1:36" s="234" customFormat="1" ht="9.6" customHeight="1">
      <c r="A36" s="239"/>
      <c r="B36" s="240"/>
      <c r="C36" s="240"/>
      <c r="D36" s="240"/>
      <c r="E36" s="241"/>
      <c r="F36" s="241"/>
      <c r="G36" s="242"/>
      <c r="H36" s="243" t="s">
        <v>87</v>
      </c>
      <c r="I36" s="244" t="s">
        <v>88</v>
      </c>
      <c r="J36" s="259" t="str">
        <f>UPPER(IF(OR(I36="a",I36="as"),E35,IF(OR(I36="b",I36="bs"),E37,)))</f>
        <v>OGRIČ MIHA</v>
      </c>
      <c r="K36" s="266">
        <f>IF(OR(I36="a",I36="as"),I35,IF(OR(I36="b",I36="bs"),I37,))</f>
        <v>0</v>
      </c>
      <c r="L36" s="227"/>
      <c r="M36" s="262"/>
      <c r="N36" s="229"/>
      <c r="O36" s="230"/>
      <c r="P36" s="229"/>
      <c r="Q36" s="269"/>
      <c r="R36" s="233"/>
      <c r="U36" s="180">
        <f>IF(OR(I36="a",I36="as"),C35,IF(OR(I36="b",I36="bs"),C37,""))</f>
        <v>0</v>
      </c>
      <c r="V36" s="208">
        <v>30</v>
      </c>
      <c r="W36" s="263" t="str">
        <f>UPPER(IF($D65="","",VLOOKUP($D65,'[1]m glavni turnir žrebna lista'!$A$7:$R$38,3)))</f>
        <v/>
      </c>
      <c r="X36" s="263" t="str">
        <f>PROPER(IF($D65="","",VLOOKUP($D65,'[1]m glavni turnir žrebna lista'!$A$7:$R$38,4)))</f>
        <v/>
      </c>
      <c r="Y36" s="249" t="str">
        <f t="shared" si="0"/>
        <v/>
      </c>
      <c r="Z36" s="249" t="str">
        <f>IF(Y36="","",IF(AND($Q$63=1,U65=U64),30,IF(AND($Q$63=2,U65=U64),15,IF(AND($Q$63=3,U65=U64),10,""))))</f>
        <v/>
      </c>
      <c r="AA36" s="249" t="str">
        <f>IF(Z36="","",IF(AND($Q$63=1,U64=U65,U65=U66),60,IF(AND($Q$63=2,U64=U65,U65=U66),30,IF(AND($Q$63=3,U64=U65,U65=U66),20,""))))</f>
        <v/>
      </c>
      <c r="AB36" s="249" t="str">
        <f>IF(AA36="","",IF(AND($Q$63=1,U62=U66,U66=U64,U64=U65),120,IF(AND($Q$63=2,U62=U66,U66=U64,U64=U65),60,IF(AND($Q$63=3,U62=U66,U66=U64,U64=U65),40,""))))</f>
        <v/>
      </c>
      <c r="AC36" s="249" t="str">
        <f>IF(AB36="","",IF(AND($Q$63=1,$U$65=$U$64,$U$64=$U$66,$U$66=$U$62,$U$62=$U$54),120,IF(AND($Q$63=2,$U$65=$U$64,$U$64=$U$66,$U$66=$U$62,$U$62=$U$54),60,IF(AND($Q$63=3,$U$65=$U$64,$U$64=$U$66,$U$66=$U$62,$U$62=$U$54),40,""))))</f>
        <v/>
      </c>
      <c r="AD36" s="249" t="str">
        <f>IF(AC36="","",IF(AND($Q$63=1,$U$65=$U$64,$U$64=$U$66,$U$66=$U$62,$U$62=$U$54,$U$38=$U$54),120,IF(AND($Q$63=2,$U$65=$U$64,$U$64=$U$66,$U$66=$U$62,$U$62=$U$54,$U$38=$U$54),60,IF(AND($Q$63=3,$U$65=$U$64,$U$64=$U$66,$U$66=$U$62,$U$62=$U$54,$U$38=$U$54),40,""))))</f>
        <v/>
      </c>
      <c r="AE36" s="250">
        <f t="shared" si="1"/>
        <v>0</v>
      </c>
      <c r="AF36" s="186"/>
      <c r="AG36" s="238"/>
      <c r="AH36" s="238"/>
      <c r="AI36" s="238"/>
      <c r="AJ36" s="238"/>
    </row>
    <row r="37" spans="1:36" s="234" customFormat="1" ht="9.6" customHeight="1">
      <c r="A37" s="223">
        <v>16</v>
      </c>
      <c r="B37" s="224" t="str">
        <f>IF($D37="","",VLOOKUP($D37,'[1]m glavni turnir žrebna lista'!$A$7:$R$38,17))</f>
        <v/>
      </c>
      <c r="C37" s="224" t="str">
        <f>IF($D37="","",VLOOKUP($D37,'[1]m glavni turnir žrebna lista'!$A$7:$R$38,2))</f>
        <v/>
      </c>
      <c r="D37" s="225"/>
      <c r="E37" s="224" t="s">
        <v>3</v>
      </c>
      <c r="F37" s="224" t="str">
        <f>PROPER(IF($D37="","",VLOOKUP($D37,'[1]m glavni turnir žrebna lista'!$A$7:$R$38,4)))</f>
        <v/>
      </c>
      <c r="G37" s="224"/>
      <c r="H37" s="224" t="str">
        <f>IF($D37="","",VLOOKUP($D37,'[1]m glavni turnir žrebna lista'!$A$7:$R$38,5))</f>
        <v/>
      </c>
      <c r="I37" s="253" t="str">
        <f>IF($D37="","",VLOOKUP($D37,'[1]m glavni turnir žrebna lista'!$A$7:$R$38,14))</f>
        <v/>
      </c>
      <c r="J37" s="254"/>
      <c r="K37" s="228"/>
      <c r="L37" s="227"/>
      <c r="M37" s="262"/>
      <c r="N37" s="230"/>
      <c r="O37" s="230"/>
      <c r="P37" s="229"/>
      <c r="Q37" s="269"/>
      <c r="R37" s="233"/>
      <c r="U37" s="180" t="str">
        <f>IF($D37="","",VLOOKUP($D37,'[1]m glavni turnir žrebna lista'!$A$7:$R$38,2))</f>
        <v/>
      </c>
      <c r="V37" s="208">
        <v>31</v>
      </c>
      <c r="W37" s="208" t="str">
        <f>UPPER(IF($D67="","",VLOOKUP($D67,'[1]m glavni turnir žrebna lista'!$A$7:$R$38,3)))</f>
        <v/>
      </c>
      <c r="X37" s="208" t="str">
        <f>PROPER(IF($D67="","",VLOOKUP($D67,'[1]m glavni turnir žrebna lista'!$A$7:$R$38,4)))</f>
        <v/>
      </c>
      <c r="Y37" s="209" t="str">
        <f t="shared" si="0"/>
        <v/>
      </c>
      <c r="Z37" s="209" t="str">
        <f>IF(Y37="","",IF(AND($Q$63=1,U68=U67),30,IF(AND($Q$63=2,U68=U67),15,IF(AND($Q$63=3,U68=U67),10,""))))</f>
        <v/>
      </c>
      <c r="AA37" s="209" t="str">
        <f>IF(Z37="","",IF(AND($Q$63=1,U68=U66,U66=U67),60,IF(AND($Q$63=2,U68=U66,U66=U67),30,IF(AND($Q$63=3,U68=U66,U66=U67),20,""))))</f>
        <v/>
      </c>
      <c r="AB37" s="209" t="str">
        <f>IF(AA37="","",IF(AND($Q$63=1,U62=U66,U66=U68,U68=U67),120,IF(AND($Q$63=2,U62=U66,U66=U68,U68=U67),60,IF(AND($Q$63=3,U62=U66,U66=U68,U68=U67),40,""))))</f>
        <v/>
      </c>
      <c r="AC37" s="209" t="str">
        <f>IF(AB37="","",IF(AND($Q$63=1,$U$67=$U$68,$U$68=$U$66,$U$66=$U$62,$U$62=$U$54),120,IF(AND($Q$63=2,$U$67=$U$68,$U$68=$U$66,$U$66=$U$62,$U$62=$U$54),60,IF(AND($Q$63=3,$U$67=$U$68,$U$68=$U$66,$U$66=$U$62,$U$62=$U$54),40,""))))</f>
        <v/>
      </c>
      <c r="AD37" s="209" t="str">
        <f>IF(AC37="","",IF(AND($Q$63=1,$U$67=$U$68,$U$68=$U$66,$U$66=$U$62,$U$62=$U$54,$U$38=$U$54),120,IF(AND($Q$63=2,$U$67=$U$68,$U$68=$U$66,$U$66=$U$62,$U$62=$U$54,$U$38=$U$54),60,IF(AND($Q$63=3,$U$67=$U$68,$U$68=$U$66,$U$66=$U$62,$U$62=$U$54,$U$38=$U$54),40,""))))</f>
        <v/>
      </c>
      <c r="AE37" s="237">
        <f t="shared" si="1"/>
        <v>0</v>
      </c>
      <c r="AF37" s="186"/>
      <c r="AG37" s="238"/>
      <c r="AH37" s="238"/>
      <c r="AI37" s="238"/>
      <c r="AJ37" s="238"/>
    </row>
    <row r="38" spans="1:36" s="234" customFormat="1" ht="9.6" customHeight="1">
      <c r="A38" s="239"/>
      <c r="B38" s="240"/>
      <c r="C38" s="240"/>
      <c r="D38" s="240"/>
      <c r="E38" s="241"/>
      <c r="F38" s="241"/>
      <c r="G38" s="242"/>
      <c r="H38" s="241"/>
      <c r="I38" s="257"/>
      <c r="J38" s="227"/>
      <c r="K38" s="228"/>
      <c r="L38" s="227"/>
      <c r="M38" s="262"/>
      <c r="N38" s="277" t="s">
        <v>85</v>
      </c>
      <c r="O38" s="278"/>
      <c r="P38" s="259" t="str">
        <f>UPPER(IF(OR(O39="a",O39="as"),P22,IF(OR(O39="b",O39="bs"),P54,)))</f>
        <v/>
      </c>
      <c r="Q38" s="279"/>
      <c r="R38" s="233"/>
      <c r="U38" s="180" t="str">
        <f>IF(OR(O39="a",O39="as"),U22,IF(OR(O39="b",O39="bs"),U54,""))</f>
        <v/>
      </c>
      <c r="V38" s="208">
        <v>32</v>
      </c>
      <c r="W38" s="263" t="str">
        <f>UPPER(IF($D69="","",VLOOKUP($D69,'[1]m glavni turnir žrebna lista'!$A$7:$R$38,3)))</f>
        <v>BATOR FILIP</v>
      </c>
      <c r="X38" s="263" t="str">
        <f>PROPER(IF($D69="","",VLOOKUP($D69,'[1]m glavni turnir žrebna lista'!$A$7:$R$38,4)))</f>
        <v>2</v>
      </c>
      <c r="Y38" s="249">
        <f t="shared" si="0"/>
        <v>30</v>
      </c>
      <c r="Z38" s="249" t="str">
        <f>IF(Y38="","",IF(AND($Q$63=1,U69=U68),30,IF(AND($Q$63=2,U69=U68),15,IF(AND($Q$63=3,U69=U68),10,""))))</f>
        <v/>
      </c>
      <c r="AA38" s="249" t="str">
        <f>IF(Z38="","",IF(AND($Q$63=1,U69=U66,U66=U68),60,IF(AND($Q$63=2,U69=U66,U66=U68),30,IF(AND($Q$63=3,U69=U66,U66=U68),20,""))))</f>
        <v/>
      </c>
      <c r="AB38" s="249" t="str">
        <f>IF(AA38="","",IF(AND($Q$63=1,U62=U66,U66=U68,U68=U69),120,IF(AND($Q$63=2,U62=U66,U66=U68,U68=U69),60,IF(AND($Q$63=3,U62=U66,U66=U68,U68=U69),40,""))))</f>
        <v/>
      </c>
      <c r="AC38" s="249" t="str">
        <f>IF(AB38="","",IF(AND($Q$63=1,$U$69=$U$68,$U$68=$U$66,$U$66=$U$62,$U$62=$U$54),120,IF(AND($Q$63=2,$U$69=$U$68,$U$68=$U$66,$U$66=$U$62,$U$62=$U$54),60,IF(AND($Q$63=3,$U$69=$U$68,$U$68=$U$66,$U$66=$U$62,$U$62=$U$54),40,""))))</f>
        <v/>
      </c>
      <c r="AD38" s="249" t="str">
        <f>IF(AC38="","",IF(AND($Q$63=1,$U$69=$U$68,$U$68=$U$66,$U$66=$U$62,$U$62=$U$54,$U$38=$U$54),120,IF(AND($Q$63=2,$U$69=$U$68,$U$68=$U$66,$U$66=$U$62,$U$62=$U$54,$U$38=$U$54),60,IF(AND($Q$63=3,$U$69=$U$68,$U$68=$U$66,$U$66=$U$62,$U$62=$U$54,$U$38=$U$54),40,""))))</f>
        <v/>
      </c>
      <c r="AE38" s="250">
        <f t="shared" si="1"/>
        <v>30</v>
      </c>
      <c r="AF38" s="186"/>
      <c r="AG38" s="238"/>
      <c r="AH38" s="238"/>
      <c r="AI38" s="238"/>
      <c r="AJ38" s="238"/>
    </row>
    <row r="39" spans="1:36" s="234" customFormat="1" ht="9.6" customHeight="1">
      <c r="A39" s="223">
        <v>17</v>
      </c>
      <c r="B39" s="224" t="str">
        <f>IF($D39="","",VLOOKUP($D39,'[1]m glavni turnir žrebna lista'!$A$7:$R$38,17))</f>
        <v/>
      </c>
      <c r="C39" s="224" t="str">
        <f>IF($D39="","",VLOOKUP($D39,'[1]m glavni turnir žrebna lista'!$A$7:$R$38,2))</f>
        <v/>
      </c>
      <c r="D39" s="225"/>
      <c r="E39" s="224" t="s">
        <v>3</v>
      </c>
      <c r="F39" s="224" t="str">
        <f>PROPER(IF($D39="","",VLOOKUP($D39,'[1]m glavni turnir žrebna lista'!$A$7:$R$38,4)))</f>
        <v/>
      </c>
      <c r="G39" s="224"/>
      <c r="H39" s="224" t="str">
        <f>IF($D39="","",VLOOKUP($D39,'[1]m glavni turnir žrebna lista'!$A$7:$R$38,5))</f>
        <v/>
      </c>
      <c r="I39" s="226" t="str">
        <f>IF($D39="","",VLOOKUP($D39,'[1]m glavni turnir žrebna lista'!$A$7:$R$38,14))</f>
        <v/>
      </c>
      <c r="J39" s="227"/>
      <c r="K39" s="228"/>
      <c r="L39" s="227"/>
      <c r="M39" s="262"/>
      <c r="N39" s="243" t="s">
        <v>87</v>
      </c>
      <c r="O39" s="280"/>
      <c r="P39" s="254"/>
      <c r="Q39" s="269"/>
      <c r="R39" s="233"/>
      <c r="U39" s="180" t="str">
        <f>IF($D39="","",VLOOKUP($D39,'[1]m glavni turnir žrebna lista'!$A$7:$R$38,2))</f>
        <v/>
      </c>
      <c r="V39" s="238"/>
      <c r="W39" s="238"/>
      <c r="X39" s="238"/>
      <c r="Y39" s="184">
        <f>COUNTIF(Y7:Y38,"&gt;0")</f>
        <v>15</v>
      </c>
      <c r="Z39" s="184">
        <f aca="true" t="shared" si="2" ref="Z39:AE39">COUNTIF(Z7:Z38,"&gt;0")</f>
        <v>12</v>
      </c>
      <c r="AA39" s="184">
        <f t="shared" si="2"/>
        <v>2</v>
      </c>
      <c r="AB39" s="184">
        <f t="shared" si="2"/>
        <v>0</v>
      </c>
      <c r="AC39" s="184">
        <f t="shared" si="2"/>
        <v>0</v>
      </c>
      <c r="AD39" s="184">
        <f t="shared" si="2"/>
        <v>0</v>
      </c>
      <c r="AE39" s="184">
        <f t="shared" si="2"/>
        <v>15</v>
      </c>
      <c r="AF39" s="186"/>
      <c r="AG39" s="238"/>
      <c r="AH39" s="238"/>
      <c r="AI39" s="238"/>
      <c r="AJ39" s="238"/>
    </row>
    <row r="40" spans="1:36" s="234" customFormat="1" ht="9.6" customHeight="1">
      <c r="A40" s="239"/>
      <c r="B40" s="240"/>
      <c r="C40" s="240"/>
      <c r="D40" s="240"/>
      <c r="E40" s="241"/>
      <c r="F40" s="241"/>
      <c r="G40" s="242"/>
      <c r="H40" s="243" t="s">
        <v>87</v>
      </c>
      <c r="I40" s="244"/>
      <c r="J40" s="259" t="s">
        <v>91</v>
      </c>
      <c r="K40" s="246">
        <f>IF(OR(I40="a",I40="as"),I39,IF(OR(I40="b",I40="bs"),I41,))</f>
        <v>0</v>
      </c>
      <c r="L40" s="227"/>
      <c r="M40" s="262"/>
      <c r="N40" s="229"/>
      <c r="O40" s="230"/>
      <c r="P40" s="229"/>
      <c r="Q40" s="269"/>
      <c r="R40" s="233"/>
      <c r="U40" s="180" t="str">
        <f>IF(OR(I40="a",I40="as"),C39,IF(OR(I40="b",I40="bs"),C41,""))</f>
        <v/>
      </c>
      <c r="V40" s="238"/>
      <c r="W40" s="238"/>
      <c r="X40" s="238"/>
      <c r="Y40" s="238"/>
      <c r="Z40" s="238"/>
      <c r="AA40" s="238"/>
      <c r="AB40" s="238"/>
      <c r="AC40" s="238"/>
      <c r="AD40" s="238"/>
      <c r="AE40" s="238"/>
      <c r="AF40" s="186"/>
      <c r="AG40" s="238"/>
      <c r="AH40" s="238"/>
      <c r="AI40" s="238"/>
      <c r="AJ40" s="238"/>
    </row>
    <row r="41" spans="1:36" s="234" customFormat="1" ht="9.6" customHeight="1">
      <c r="A41" s="239">
        <v>18</v>
      </c>
      <c r="B41" s="251">
        <f>IF($D41="","",VLOOKUP($D41,'[1]m glavni turnir žrebna lista'!$A$7:$R$38,17))</f>
        <v>0</v>
      </c>
      <c r="C41" s="251">
        <f>IF($D41="","",VLOOKUP($D41,'[1]m glavni turnir žrebna lista'!$A$7:$R$38,2))</f>
        <v>0</v>
      </c>
      <c r="D41" s="225">
        <v>10</v>
      </c>
      <c r="E41" s="252" t="str">
        <f>UPPER(IF($D41="","",VLOOKUP($D41,'[1]m glavni turnir žrebna lista'!$A$7:$R$38,3)))</f>
        <v>MIHELIČ GAŠPER</v>
      </c>
      <c r="F41" s="252" t="str">
        <f>PROPER(IF($D41="","",VLOOKUP($D41,'[1]m glavni turnir žrebna lista'!$A$7:$R$38,4)))</f>
        <v/>
      </c>
      <c r="G41" s="252"/>
      <c r="H41" s="252">
        <f>IF($D41="","",VLOOKUP($D41,'[1]m glavni turnir žrebna lista'!$A$7:$R$38,5))</f>
        <v>0</v>
      </c>
      <c r="I41" s="253" t="s">
        <v>92</v>
      </c>
      <c r="J41" s="254"/>
      <c r="K41" s="255"/>
      <c r="L41" s="227"/>
      <c r="M41" s="262"/>
      <c r="N41" s="229"/>
      <c r="O41" s="230"/>
      <c r="P41" s="229"/>
      <c r="Q41" s="269"/>
      <c r="R41" s="233"/>
      <c r="U41" s="180">
        <f>IF($D41="","",VLOOKUP($D41,'[1]m glavni turnir žrebna lista'!$A$7:$R$38,2))</f>
        <v>0</v>
      </c>
      <c r="V41" s="525" t="s">
        <v>93</v>
      </c>
      <c r="W41" s="525"/>
      <c r="X41" s="525"/>
      <c r="Y41" s="525"/>
      <c r="Z41" s="525"/>
      <c r="AA41" s="281"/>
      <c r="AB41" s="281"/>
      <c r="AC41" s="281"/>
      <c r="AD41" s="281"/>
      <c r="AE41" s="282"/>
      <c r="AF41" s="283"/>
      <c r="AG41" s="284" t="s">
        <v>94</v>
      </c>
      <c r="AH41" s="283"/>
      <c r="AI41" s="283"/>
      <c r="AJ41" s="283"/>
    </row>
    <row r="42" spans="1:36" s="234" customFormat="1" ht="9.6" customHeight="1">
      <c r="A42" s="239"/>
      <c r="B42" s="240"/>
      <c r="C42" s="240"/>
      <c r="D42" s="256"/>
      <c r="E42" s="241"/>
      <c r="F42" s="241"/>
      <c r="G42" s="242"/>
      <c r="H42" s="241"/>
      <c r="I42" s="257"/>
      <c r="J42" s="243" t="s">
        <v>87</v>
      </c>
      <c r="K42" s="258"/>
      <c r="L42" s="259" t="str">
        <f>UPPER(IF(OR(K42="a",K42="as"),J40,IF(OR(K42="b",K42="bs"),J44,)))</f>
        <v/>
      </c>
      <c r="M42" s="260">
        <f>IF(OR(K42="a",K42="as"),K40,IF(OR(K42="b",K42="bs"),K44,))</f>
        <v>0</v>
      </c>
      <c r="N42" s="229"/>
      <c r="O42" s="230"/>
      <c r="P42" s="229"/>
      <c r="Q42" s="269"/>
      <c r="R42" s="233"/>
      <c r="U42" s="180" t="str">
        <f>IF(OR(K42="a",K42="as"),U40,IF(OR(K42="b",K42="bs"),U44,""))</f>
        <v/>
      </c>
      <c r="V42" s="283"/>
      <c r="W42" s="285"/>
      <c r="X42" s="286"/>
      <c r="Y42" s="281"/>
      <c r="Z42" s="281"/>
      <c r="AA42" s="281"/>
      <c r="AB42" s="281"/>
      <c r="AC42" s="281"/>
      <c r="AD42" s="281"/>
      <c r="AE42" s="282"/>
      <c r="AF42" s="283"/>
      <c r="AG42" s="283"/>
      <c r="AH42" s="283"/>
      <c r="AI42" s="283"/>
      <c r="AJ42" s="283"/>
    </row>
    <row r="43" spans="1:36" s="234" customFormat="1" ht="9.6" customHeight="1">
      <c r="A43" s="239">
        <v>19</v>
      </c>
      <c r="B43" s="251">
        <f>IF($D43="","",VLOOKUP($D43,'[1]m glavni turnir žrebna lista'!$A$7:$R$38,17))</f>
        <v>0</v>
      </c>
      <c r="C43" s="251">
        <f>IF($D43="","",VLOOKUP($D43,'[1]m glavni turnir žrebna lista'!$A$7:$R$38,2))</f>
        <v>0</v>
      </c>
      <c r="D43" s="225">
        <v>9</v>
      </c>
      <c r="E43" s="252" t="str">
        <f>UPPER(IF($D43="","",VLOOKUP($D43,'[1]m glavni turnir žrebna lista'!$A$7:$R$38,3)))</f>
        <v>MANASIJEVIĆ VLADIMIR</v>
      </c>
      <c r="F43" s="252" t="str">
        <f>PROPER(IF($D43="","",VLOOKUP($D43,'[1]m glavni turnir žrebna lista'!$A$7:$R$38,4)))</f>
        <v/>
      </c>
      <c r="G43" s="252"/>
      <c r="H43" s="252">
        <f>IF($D43="","",VLOOKUP($D43,'[1]m glavni turnir žrebna lista'!$A$7:$R$38,5))</f>
        <v>0</v>
      </c>
      <c r="I43" s="226">
        <f>IF($D43="","",VLOOKUP($D43,'[1]m glavni turnir žrebna lista'!$A$7:$R$38,14))</f>
        <v>0</v>
      </c>
      <c r="J43" s="227"/>
      <c r="K43" s="264"/>
      <c r="L43" s="254"/>
      <c r="M43" s="265"/>
      <c r="N43" s="229"/>
      <c r="O43" s="230"/>
      <c r="P43" s="229"/>
      <c r="Q43" s="269"/>
      <c r="R43" s="233"/>
      <c r="U43" s="180">
        <f>IF($D43="","",VLOOKUP($D43,'[1]m glavni turnir žrebna lista'!$A$7:$R$38,2))</f>
        <v>0</v>
      </c>
      <c r="V43" s="287" t="s">
        <v>81</v>
      </c>
      <c r="W43" s="285" t="s">
        <v>75</v>
      </c>
      <c r="X43" s="285" t="s">
        <v>76</v>
      </c>
      <c r="Y43" s="281" t="s">
        <v>82</v>
      </c>
      <c r="Z43" s="281" t="s">
        <v>83</v>
      </c>
      <c r="AA43" s="281" t="s">
        <v>78</v>
      </c>
      <c r="AB43" s="281" t="s">
        <v>79</v>
      </c>
      <c r="AC43" s="281" t="s">
        <v>80</v>
      </c>
      <c r="AD43" s="281"/>
      <c r="AE43" s="288" t="s">
        <v>86</v>
      </c>
      <c r="AF43" s="283"/>
      <c r="AG43" s="285" t="s">
        <v>75</v>
      </c>
      <c r="AH43" s="285" t="s">
        <v>76</v>
      </c>
      <c r="AI43" s="285" t="s">
        <v>66</v>
      </c>
      <c r="AJ43" s="284" t="s">
        <v>86</v>
      </c>
    </row>
    <row r="44" spans="1:36" s="234" customFormat="1" ht="9.6" customHeight="1">
      <c r="A44" s="239"/>
      <c r="B44" s="240"/>
      <c r="C44" s="240"/>
      <c r="D44" s="256"/>
      <c r="E44" s="241"/>
      <c r="F44" s="241"/>
      <c r="G44" s="242"/>
      <c r="H44" s="243" t="s">
        <v>87</v>
      </c>
      <c r="I44" s="244" t="s">
        <v>88</v>
      </c>
      <c r="J44" s="259" t="str">
        <f>UPPER(IF(OR(I44="a",I44="as"),E43,IF(OR(I44="b",I44="bs"),E45,)))</f>
        <v>MANASIJEVIĆ VLADIMIR</v>
      </c>
      <c r="K44" s="266">
        <f>IF(OR(I44="a",I44="as"),I43,IF(OR(I44="b",I44="bs"),I45,))</f>
        <v>0</v>
      </c>
      <c r="L44" s="227"/>
      <c r="M44" s="265"/>
      <c r="N44" s="229"/>
      <c r="O44" s="230"/>
      <c r="P44" s="229"/>
      <c r="Q44" s="269"/>
      <c r="R44" s="233"/>
      <c r="S44" s="289"/>
      <c r="T44" s="290"/>
      <c r="U44" s="291">
        <f>IF(OR(I44="a",I44="as"),C43,IF(OR(I44="b",I44="bs"),C45,""))</f>
        <v>0</v>
      </c>
      <c r="V44" s="285"/>
      <c r="W44" s="285"/>
      <c r="X44" s="285"/>
      <c r="Y44" s="281"/>
      <c r="Z44" s="281"/>
      <c r="AA44" s="281"/>
      <c r="AB44" s="281"/>
      <c r="AC44" s="281"/>
      <c r="AD44" s="281"/>
      <c r="AE44" s="292"/>
      <c r="AF44" s="283"/>
      <c r="AG44" s="283"/>
      <c r="AH44" s="283"/>
      <c r="AI44" s="283"/>
      <c r="AJ44" s="293"/>
    </row>
    <row r="45" spans="1:36" s="234" customFormat="1" ht="9.6" customHeight="1">
      <c r="A45" s="239">
        <v>20</v>
      </c>
      <c r="B45" s="251" t="str">
        <f>IF($D45="","",VLOOKUP($D45,'[1]m glavni turnir žrebna lista'!$A$7:$R$38,17))</f>
        <v/>
      </c>
      <c r="C45" s="251" t="str">
        <f>IF($D45="","",VLOOKUP($D45,'[1]m glavni turnir žrebna lista'!$A$7:$R$38,2))</f>
        <v/>
      </c>
      <c r="D45" s="225"/>
      <c r="E45" s="252" t="s">
        <v>3</v>
      </c>
      <c r="F45" s="252" t="str">
        <f>PROPER(IF($D45="","",VLOOKUP($D45,'[1]m glavni turnir žrebna lista'!$A$7:$R$38,4)))</f>
        <v/>
      </c>
      <c r="G45" s="252"/>
      <c r="H45" s="252" t="str">
        <f>IF($D45="","",VLOOKUP($D45,'[1]m glavni turnir žrebna lista'!$A$7:$R$38,5))</f>
        <v/>
      </c>
      <c r="I45" s="253" t="str">
        <f>IF($D45="","",VLOOKUP($D45,'[1]m glavni turnir žrebna lista'!$A$7:$R$38,14))</f>
        <v/>
      </c>
      <c r="J45" s="254"/>
      <c r="K45" s="228"/>
      <c r="L45" s="227"/>
      <c r="M45" s="265"/>
      <c r="N45" s="229"/>
      <c r="O45" s="230"/>
      <c r="P45" s="229"/>
      <c r="Q45" s="269"/>
      <c r="R45" s="233"/>
      <c r="S45" s="290"/>
      <c r="T45" s="290"/>
      <c r="U45" s="291" t="str">
        <f>IF($D45="","",VLOOKUP($D45,'[1]m glavni turnir žrebna lista'!$A$7:$R$38,2))</f>
        <v/>
      </c>
      <c r="V45" s="285">
        <v>1</v>
      </c>
      <c r="W45" s="294" t="str">
        <f>UPPER(IF($D$7="","",VLOOKUP($D$7,'[1]m glavni turnir žrebna lista'!$A$7:$R$38,3)))</f>
        <v>JARC MATEJ</v>
      </c>
      <c r="X45" s="285" t="str">
        <f>PROPER(IF($D$7="","",VLOOKUP($D$7,'[1]m glavni turnir žrebna lista'!$A$7:$R$38,4)))</f>
        <v>1</v>
      </c>
      <c r="Y45" s="295" t="str">
        <f>IF($W$45="","",IF($U$7&lt;&gt;$U$8,"",IF($J$9="bb",1,IF($J$9="","0",$I$9))))</f>
        <v>0</v>
      </c>
      <c r="Z45" s="281" t="str">
        <f>IF($W$45="","",IF($U$10&lt;&gt;$U$7,"",IF($L$11="bb",1,IF($L$11="","0",$K$12))))</f>
        <v/>
      </c>
      <c r="AA45" s="295" t="str">
        <f>IF($W$45="","",IF($U$14&lt;&gt;$U$7,"",IF($N$15="bb",1,IF($N$15="","0",$M$18))))</f>
        <v/>
      </c>
      <c r="AB45" s="295" t="str">
        <f>IF($W$45="","",IF($U$22&lt;&gt;$U$7,"",IF($P$23="bb",1,IF($P$23="","0",$O$30))))</f>
        <v/>
      </c>
      <c r="AC45" s="296" t="str">
        <f>IF($W$45="","",IF($U$38&lt;&gt;$U$7,"",IF($P$39="bb",1,IF($P$39="","0",$Q$54))))</f>
        <v/>
      </c>
      <c r="AD45" s="281"/>
      <c r="AE45" s="292">
        <f>IF($C$2="B turnir",SUM(Y45:AD45)*0.1,SUM(Y45:AD45))</f>
        <v>0</v>
      </c>
      <c r="AF45" s="283">
        <f>IF($C7="","",'m glavni - do 35 let'!$C$7)</f>
        <v>0</v>
      </c>
      <c r="AG45" s="285" t="str">
        <f>UPPER(IF($D$7="","",VLOOKUP($D$7,'[1]m glavni turnir žrebna lista'!$A$7:$R$38,3)))</f>
        <v>JARC MATEJ</v>
      </c>
      <c r="AH45" s="285" t="str">
        <f>PROPER(IF($D$7="","",VLOOKUP($D$7,'[1]m glavni turnir žrebna lista'!$A$7:$R$38,4)))</f>
        <v>1</v>
      </c>
      <c r="AI45" s="285" t="str">
        <f>UPPER(IF($D$7="","",VLOOKUP($D$7,'[1]m glavni turnir žrebna lista'!$A$7:$R$38,5)))</f>
        <v/>
      </c>
      <c r="AJ45" s="292">
        <f>SUM(AE7,AE45)</f>
        <v>60</v>
      </c>
    </row>
    <row r="46" spans="1:36" s="234" customFormat="1" ht="9.6" customHeight="1">
      <c r="A46" s="239"/>
      <c r="B46" s="240"/>
      <c r="C46" s="240"/>
      <c r="D46" s="256"/>
      <c r="E46" s="227"/>
      <c r="F46" s="227"/>
      <c r="G46" s="267"/>
      <c r="H46" s="268"/>
      <c r="I46" s="257"/>
      <c r="J46" s="227"/>
      <c r="K46" s="228"/>
      <c r="L46" s="243" t="s">
        <v>87</v>
      </c>
      <c r="M46" s="258"/>
      <c r="N46" s="259" t="str">
        <f>UPPER(IF(OR(M46="a",M46="as"),L42,IF(OR(M46="b",M46="bs"),L50,)))</f>
        <v/>
      </c>
      <c r="O46" s="297">
        <f>IF(OR(M46="a",M46="as"),M42,IF(OR(M46="b",M46="bs"),M50,))</f>
        <v>0</v>
      </c>
      <c r="P46" s="229"/>
      <c r="Q46" s="269"/>
      <c r="R46" s="233"/>
      <c r="S46" s="298"/>
      <c r="T46" s="290"/>
      <c r="U46" s="291" t="str">
        <f>IF(OR(M46="a",M46="as"),U42,IF(OR(M46="b",M46="bs"),U50,""))</f>
        <v/>
      </c>
      <c r="V46" s="285">
        <v>2</v>
      </c>
      <c r="W46" s="285" t="str">
        <f>UPPER(IF($D$9="","",VLOOKUP($D$9,'[1]m glavni turnir žrebna lista'!$A$7:$R$38,3)))</f>
        <v/>
      </c>
      <c r="X46" s="285" t="str">
        <f>PROPER(IF($D$9="","",VLOOKUP($D$9,'[1]m glavni turnir žrebna lista'!$A$7:$R$38,4)))</f>
        <v/>
      </c>
      <c r="Y46" s="281" t="str">
        <f>IF(W46="","",IF($U$9&lt;&gt;$U$8,"",IF($J$9="bb",1,IF($J$9="","0",$I$7))))</f>
        <v/>
      </c>
      <c r="Z46" s="281" t="str">
        <f>IF($W$45="","",IF($U$10&lt;&gt;$U$9,"",IF($L$11="bb",1,IF($L$11="","0",$K$12))))</f>
        <v>0</v>
      </c>
      <c r="AA46" s="281" t="str">
        <f>IF($W$45="","",IF($U$14&lt;&gt;$U$9,"",IF($N$15="bb",1,IF($N$15="","0",$M$18))))</f>
        <v>0</v>
      </c>
      <c r="AB46" s="281" t="str">
        <f>IF($W$45="","",IF($U$22&lt;&gt;$U$9,"",IF($P$23="bb",1,IF($P$23="","0",$O$30))))</f>
        <v>0</v>
      </c>
      <c r="AC46" s="281" t="str">
        <f>IF($W$45="","",IF($U$38&lt;&gt;$U$9,"",IF($P$39="bb",1,IF($P$39="","0",$Q$54))))</f>
        <v>0</v>
      </c>
      <c r="AD46" s="281"/>
      <c r="AE46" s="292">
        <f aca="true" t="shared" si="3" ref="AE46:AE76">IF($C$2="B turnir",SUM(Y46:AD46)*0.1,SUM(Y46:AD46))</f>
        <v>0</v>
      </c>
      <c r="AF46" s="283" t="str">
        <f>IF($C9="","",'m glavni - do 35 let'!$C$9)</f>
        <v/>
      </c>
      <c r="AG46" s="285" t="str">
        <f>UPPER(IF($D$9="","",VLOOKUP($D$9,'[1]m glavni turnir žrebna lista'!$A$7:$R$38,3)))</f>
        <v/>
      </c>
      <c r="AH46" s="285" t="str">
        <f>PROPER(IF($D$9="","",VLOOKUP($D$9,'[1]m glavni turnir žrebna lista'!$A$7:$R$38,4)))</f>
        <v/>
      </c>
      <c r="AI46" s="285" t="str">
        <f>UPPER(IF($D$9="","",VLOOKUP($D$9,'[1]m glavni turnir žrebna lista'!$A$7:$R$38,5)))</f>
        <v/>
      </c>
      <c r="AJ46" s="292">
        <f>SUM(AE8,AE46)</f>
        <v>0</v>
      </c>
    </row>
    <row r="47" spans="1:36" s="234" customFormat="1" ht="9.6" customHeight="1">
      <c r="A47" s="239">
        <v>21</v>
      </c>
      <c r="B47" s="251">
        <f>IF($D47="","",VLOOKUP($D47,'[1]m glavni turnir žrebna lista'!$A$7:$R$38,17))</f>
        <v>0</v>
      </c>
      <c r="C47" s="251">
        <f>IF($D47="","",VLOOKUP($D47,'[1]m glavni turnir žrebna lista'!$A$7:$R$38,2))</f>
        <v>0</v>
      </c>
      <c r="D47" s="225">
        <v>8</v>
      </c>
      <c r="E47" s="252" t="str">
        <f>UPPER(IF($D47="","",VLOOKUP($D47,'[1]m glavni turnir žrebna lista'!$A$7:$R$38,3)))</f>
        <v>LAP JAN</v>
      </c>
      <c r="F47" s="252" t="str">
        <f>PROPER(IF($D47="","",VLOOKUP($D47,'[1]m glavni turnir žrebna lista'!$A$7:$R$38,4)))</f>
        <v/>
      </c>
      <c r="G47" s="252"/>
      <c r="H47" s="252">
        <f>IF($D47="","",VLOOKUP($D47,'[1]m glavni turnir žrebna lista'!$A$7:$R$38,5))</f>
        <v>0</v>
      </c>
      <c r="I47" s="226">
        <f>IF($D47="","",VLOOKUP($D47,'[1]m glavni turnir žrebna lista'!$A$7:$R$38,14))</f>
        <v>0</v>
      </c>
      <c r="J47" s="227"/>
      <c r="K47" s="228"/>
      <c r="L47" s="227"/>
      <c r="M47" s="265"/>
      <c r="N47" s="254"/>
      <c r="O47" s="269"/>
      <c r="P47" s="229"/>
      <c r="Q47" s="269"/>
      <c r="R47" s="233"/>
      <c r="S47" s="299"/>
      <c r="T47" s="290"/>
      <c r="U47" s="291">
        <f>IF($D47="","",VLOOKUP($D47,'[1]m glavni turnir žrebna lista'!$A$7:$R$38,2))</f>
        <v>0</v>
      </c>
      <c r="V47" s="285">
        <v>3</v>
      </c>
      <c r="W47" s="285" t="str">
        <f>UPPER(IF($D$11="","",VLOOKUP($D$11,'[1]m glavni turnir žrebna lista'!$A$7:$R$38,3)))</f>
        <v/>
      </c>
      <c r="X47" s="285" t="str">
        <f>PROPER(IF($D$11="","",VLOOKUP($D$11,'[1]m glavni turnir žrebna lista'!$A$7:$R$38,4)))</f>
        <v/>
      </c>
      <c r="Y47" s="281" t="str">
        <f>IF(W47="","",IF($U$11&lt;&gt;$U$12,"",IF($J$13="bb",1,IF($J$13="","0",$I$13))))</f>
        <v/>
      </c>
      <c r="Z47" s="281" t="str">
        <f>IF($W$45="","",IF($U$10&lt;&gt;$U$11,"",IF($L$11="bb",1,IF($L$11="","0",$K$8))))</f>
        <v>0</v>
      </c>
      <c r="AA47" s="281" t="str">
        <f>IF($W$45="","",IF($U$14&lt;&gt;$U$11,"",IF($N$15="bb",1,IF($N$15="","0",$M$18))))</f>
        <v>0</v>
      </c>
      <c r="AB47" s="281" t="str">
        <f>IF($W$45="","",IF($U$22&lt;&gt;$U11,"",IF($P$23="bb",1,IF($P$23="","0",$O$30))))</f>
        <v>0</v>
      </c>
      <c r="AC47" s="281" t="str">
        <f>IF($W$45="","",IF($U$38&lt;&gt;$U$11,"",IF($P$39="bb",1,IF($P$39="","0",$Q$54))))</f>
        <v>0</v>
      </c>
      <c r="AD47" s="281"/>
      <c r="AE47" s="292">
        <f t="shared" si="3"/>
        <v>0</v>
      </c>
      <c r="AF47" s="283" t="str">
        <f>IF($C11="","",'m glavni - do 35 let'!$C$11)</f>
        <v/>
      </c>
      <c r="AG47" s="285" t="str">
        <f>UPPER(IF($D$11="","",VLOOKUP($D$11,'[1]m glavni turnir žrebna lista'!$A$7:$R$38,3)))</f>
        <v/>
      </c>
      <c r="AH47" s="285" t="str">
        <f>PROPER(IF($D$11="","",VLOOKUP($D$11,'[1]m glavni turnir žrebna lista'!$A$7:$R$38,4)))</f>
        <v/>
      </c>
      <c r="AI47" s="285" t="str">
        <f>UPPER(IF($D$11="","",VLOOKUP($D$11,'[1]m glavni turnir žrebna lista'!$A$7:$R$38,5)))</f>
        <v/>
      </c>
      <c r="AJ47" s="292">
        <f aca="true" t="shared" si="4" ref="AJ47:AJ76">SUM(AE9,AE47)</f>
        <v>0</v>
      </c>
    </row>
    <row r="48" spans="1:36" s="234" customFormat="1" ht="9.6" customHeight="1">
      <c r="A48" s="239"/>
      <c r="B48" s="240"/>
      <c r="C48" s="240"/>
      <c r="D48" s="256"/>
      <c r="E48" s="241"/>
      <c r="F48" s="241"/>
      <c r="G48" s="242"/>
      <c r="H48" s="243" t="s">
        <v>87</v>
      </c>
      <c r="I48" s="244" t="s">
        <v>88</v>
      </c>
      <c r="J48" s="259" t="str">
        <f>UPPER(IF(OR(I48="a",I48="as"),E47,IF(OR(I48="b",I48="bs"),E49,)))</f>
        <v>LAP JAN</v>
      </c>
      <c r="K48" s="246">
        <f>IF(OR(I48="a",I48="as"),I47,IF(OR(I48="b",I48="bs"),I49,))</f>
        <v>0</v>
      </c>
      <c r="L48" s="227"/>
      <c r="M48" s="265"/>
      <c r="N48" s="229"/>
      <c r="O48" s="269"/>
      <c r="P48" s="229"/>
      <c r="Q48" s="269"/>
      <c r="R48" s="233"/>
      <c r="S48" s="299"/>
      <c r="T48" s="290"/>
      <c r="U48" s="291">
        <f>IF(OR(I48="a",I48="as"),C47,IF(OR(I48="b",I48="bs"),C49,""))</f>
        <v>0</v>
      </c>
      <c r="V48" s="285">
        <v>4</v>
      </c>
      <c r="W48" s="285" t="str">
        <f>UPPER(IF($D$13="","",VLOOKUP($D$13,'[1]m glavni turnir žrebna lista'!$A$7:$R$38,3)))</f>
        <v/>
      </c>
      <c r="X48" s="285" t="str">
        <f>PROPER(IF($D$13="","",VLOOKUP($D$13,'[1]m glavni turnir žrebna lista'!$A$7:$R$38,4)))</f>
        <v/>
      </c>
      <c r="Y48" s="281" t="str">
        <f>IF(W48="","",IF($U$12&lt;&gt;$U$13,"",IF($J$13="bb",1,IF($J$13="","0",$I$11))))</f>
        <v/>
      </c>
      <c r="Z48" s="281" t="str">
        <f>IF($W$45="","",IF($U$10&lt;&gt;$U$13,"",IF($L$11="bb",1,IF($L$11="","0",$K$8))))</f>
        <v>0</v>
      </c>
      <c r="AA48" s="281" t="str">
        <f>IF($W$45="","",IF($U$14&lt;&gt;$U$13,"",IF($N$15="bb",1,IF($N$15="","0",$M$18))))</f>
        <v>0</v>
      </c>
      <c r="AB48" s="281" t="str">
        <f>IF($W$45="","",IF($U$22&lt;&gt;$U$13,"",IF($P$23="bb",1,IF($P$23="","0",$O$30))))</f>
        <v>0</v>
      </c>
      <c r="AC48" s="281" t="str">
        <f>IF($W$45="","",IF($U$38&lt;&gt;$U$13,"",IF($P$39="bb",1,IF($P$39="","0",$Q$54))))</f>
        <v>0</v>
      </c>
      <c r="AD48" s="281"/>
      <c r="AE48" s="292">
        <f t="shared" si="3"/>
        <v>0</v>
      </c>
      <c r="AF48" s="283" t="str">
        <f>IF($C13="","",'m glavni - do 35 let'!$C$13)</f>
        <v/>
      </c>
      <c r="AG48" s="285" t="str">
        <f>UPPER(IF($D$13="","",VLOOKUP($D$13,'[1]m glavni turnir žrebna lista'!$A$7:$R$38,3)))</f>
        <v/>
      </c>
      <c r="AH48" s="285" t="str">
        <f>PROPER(IF($D$13="","",VLOOKUP($D$13,'[1]m glavni turnir žrebna lista'!$A$7:$R$38,4)))</f>
        <v/>
      </c>
      <c r="AI48" s="285" t="str">
        <f>UPPER(IF($D$13="","",VLOOKUP($D$13,'[1]m glavni turnir žrebna lista'!$A$7:$R$38,5)))</f>
        <v/>
      </c>
      <c r="AJ48" s="292">
        <f t="shared" si="4"/>
        <v>0</v>
      </c>
    </row>
    <row r="49" spans="1:36" s="234" customFormat="1" ht="9.6" customHeight="1">
      <c r="A49" s="239">
        <v>22</v>
      </c>
      <c r="B49" s="251" t="str">
        <f>IF($D49="","",VLOOKUP($D49,'[1]m glavni turnir žrebna lista'!$A$7:$R$38,17))</f>
        <v/>
      </c>
      <c r="C49" s="251" t="str">
        <f>IF($D49="","",VLOOKUP($D49,'[1]m glavni turnir žrebna lista'!$A$7:$R$38,2))</f>
        <v/>
      </c>
      <c r="D49" s="225"/>
      <c r="E49" s="252" t="s">
        <v>95</v>
      </c>
      <c r="F49" s="252" t="str">
        <f>PROPER(IF($D49="","",VLOOKUP($D49,'[1]m glavni turnir žrebna lista'!$A$7:$R$38,4)))</f>
        <v/>
      </c>
      <c r="G49" s="252"/>
      <c r="H49" s="252" t="str">
        <f>IF($D49="","",VLOOKUP($D49,'[1]m glavni turnir žrebna lista'!$A$7:$R$38,5))</f>
        <v/>
      </c>
      <c r="I49" s="253" t="str">
        <f>IF($D49="","",VLOOKUP($D49,'[1]m glavni turnir žrebna lista'!$A$7:$R$38,14))</f>
        <v/>
      </c>
      <c r="J49" s="254"/>
      <c r="K49" s="255"/>
      <c r="L49" s="227"/>
      <c r="M49" s="265"/>
      <c r="N49" s="229"/>
      <c r="O49" s="269"/>
      <c r="P49" s="229"/>
      <c r="Q49" s="269"/>
      <c r="R49" s="233"/>
      <c r="S49" s="299"/>
      <c r="T49" s="290"/>
      <c r="U49" s="291" t="str">
        <f>IF($D49="","",VLOOKUP($D49,'[1]m glavni turnir žrebna lista'!$A$7:$R$38,2))</f>
        <v/>
      </c>
      <c r="V49" s="285">
        <v>5</v>
      </c>
      <c r="W49" s="285" t="str">
        <f>UPPER(IF($D$15="","",VLOOKUP($D$15,'[1]m glavni turnir žrebna lista'!$A$7:$R$38,3)))</f>
        <v>STOPAR LUKA</v>
      </c>
      <c r="X49" s="285" t="str">
        <f>PROPER(IF($D$15="","",VLOOKUP($D$15,'[1]m glavni turnir žrebna lista'!$A$7:$R$38,4)))</f>
        <v/>
      </c>
      <c r="Y49" s="281" t="str">
        <f>IF(W49="","",IF($U$16&lt;&gt;$U$15,"",IF($J$17="bb",1,IF($J$17="","0",$I$17))))</f>
        <v>0</v>
      </c>
      <c r="Z49" s="281" t="str">
        <f>IF($W$45="","",IF($U$18&lt;&gt;$U$15,"",IF($L$19="bb",1,IF($L$19="","0",$K$20))))</f>
        <v/>
      </c>
      <c r="AA49" s="281" t="str">
        <f>IF($W$45="","",IF($U$14&lt;&gt;$U$15,"",IF($N$15="bb",1,IF($N$15="","0",$M$10))))</f>
        <v/>
      </c>
      <c r="AB49" s="281" t="str">
        <f>IF($W$45="","",IF($U$22&lt;&gt;$U$15,"",IF($P$23="bb",1,IF($P$23="","0",$O$30))))</f>
        <v/>
      </c>
      <c r="AC49" s="281" t="str">
        <f>IF($W$45="","",IF($U$38&lt;&gt;$U$15,"",IF($P$39="bb",1,IF($P$39="","0",$Q$54))))</f>
        <v/>
      </c>
      <c r="AD49" s="281"/>
      <c r="AE49" s="292">
        <f t="shared" si="3"/>
        <v>0</v>
      </c>
      <c r="AF49" s="283">
        <f>IF($C15="","",'m glavni - do 35 let'!$C$15)</f>
        <v>0</v>
      </c>
      <c r="AG49" s="285" t="str">
        <f>UPPER(IF($D$15="","",VLOOKUP($D$15,'[1]m glavni turnir žrebna lista'!$A$7:$R$38,3)))</f>
        <v>STOPAR LUKA</v>
      </c>
      <c r="AH49" s="285" t="str">
        <f>PROPER(IF($D$15="","",VLOOKUP($D$15,'[1]m glavni turnir žrebna lista'!$A$7:$R$38,4)))</f>
        <v/>
      </c>
      <c r="AI49" s="285" t="str">
        <f>UPPER(IF($D$15="","",VLOOKUP($D$15,'[1]m glavni turnir žrebna lista'!$A$7:$R$38,5)))</f>
        <v/>
      </c>
      <c r="AJ49" s="292">
        <f t="shared" si="4"/>
        <v>60</v>
      </c>
    </row>
    <row r="50" spans="1:36" s="234" customFormat="1" ht="9.6" customHeight="1">
      <c r="A50" s="239"/>
      <c r="B50" s="240"/>
      <c r="C50" s="240"/>
      <c r="D50" s="256"/>
      <c r="E50" s="241"/>
      <c r="F50" s="241"/>
      <c r="G50" s="242"/>
      <c r="H50" s="227"/>
      <c r="I50" s="257"/>
      <c r="J50" s="243" t="s">
        <v>87</v>
      </c>
      <c r="K50" s="258"/>
      <c r="L50" s="259" t="str">
        <f>UPPER(IF(OR(K50="a",K50="as"),J48,IF(OR(K50="b",K50="bs"),J52,)))</f>
        <v/>
      </c>
      <c r="M50" s="271">
        <f>IF(OR(K50="a",K50="as"),K48,IF(OR(K50="b",K50="bs"),K52,))</f>
        <v>0</v>
      </c>
      <c r="N50" s="229"/>
      <c r="O50" s="269"/>
      <c r="P50" s="229"/>
      <c r="Q50" s="269"/>
      <c r="R50" s="233"/>
      <c r="S50" s="299"/>
      <c r="T50" s="290"/>
      <c r="U50" s="291" t="str">
        <f>IF(OR(K50="a",K50="as"),U48,IF(OR(K50="b",K50="bs"),U52,""))</f>
        <v/>
      </c>
      <c r="V50" s="285">
        <v>6</v>
      </c>
      <c r="W50" s="285" t="str">
        <f>UPPER(IF($D$17="","",VLOOKUP($D$17,'[1]m glavni turnir žrebna lista'!$A$7:$R$38,3)))</f>
        <v/>
      </c>
      <c r="X50" s="285" t="str">
        <f>PROPER(IF($D$17="","",VLOOKUP($D$17,'[1]m glavni turnir žrebna lista'!$A$7:$R$38,4)))</f>
        <v/>
      </c>
      <c r="Y50" s="281" t="str">
        <f>IF(W50="","",IF($U$16&lt;&gt;$U$17,"",IF($J$17="bb",1,IF($J$17="","0",$I$15))))</f>
        <v/>
      </c>
      <c r="Z50" s="281" t="str">
        <f>IF($W$45="","",IF($U$18&lt;&gt;$U$17,"",IF($L$19="bb",1,IF($L$19="","0",$K$20))))</f>
        <v>0</v>
      </c>
      <c r="AA50" s="281" t="str">
        <f>IF($W$45="","",IF($U$14&lt;&gt;$U$17,"",IF($N$15="bb",1,IF($N$15="","0",$M$10))))</f>
        <v>0</v>
      </c>
      <c r="AB50" s="281" t="str">
        <f>IF($W$45="","",IF($U$22&lt;&gt;$U$17,"",IF($P$23="bb",1,IF($P$23="","0",$O$30))))</f>
        <v>0</v>
      </c>
      <c r="AC50" s="281" t="str">
        <f>IF($W$45="","",IF($U$38&lt;&gt;$U$17,"",IF($P$39="bb",1,IF($P$39="","0",$Q$54))))</f>
        <v>0</v>
      </c>
      <c r="AD50" s="281"/>
      <c r="AE50" s="292">
        <f t="shared" si="3"/>
        <v>0</v>
      </c>
      <c r="AF50" s="283" t="str">
        <f>IF($C17="","",'m glavni - do 35 let'!$C$17)</f>
        <v/>
      </c>
      <c r="AG50" s="285" t="str">
        <f>UPPER(IF($D$17="","",VLOOKUP($D$17,'[1]m glavni turnir žrebna lista'!$A$7:$R$38,3)))</f>
        <v/>
      </c>
      <c r="AH50" s="285" t="str">
        <f>PROPER(IF($D$17="","",VLOOKUP($D$17,'[1]m glavni turnir žrebna lista'!$A$7:$R$38,4)))</f>
        <v/>
      </c>
      <c r="AI50" s="285" t="str">
        <f>UPPER(IF($D$17="","",VLOOKUP($D$17,'[1]m glavni turnir žrebna lista'!$A$7:$R$38,5)))</f>
        <v/>
      </c>
      <c r="AJ50" s="292">
        <f t="shared" si="4"/>
        <v>0</v>
      </c>
    </row>
    <row r="51" spans="1:36" s="234" customFormat="1" ht="9.6" customHeight="1">
      <c r="A51" s="239">
        <v>23</v>
      </c>
      <c r="B51" s="251" t="str">
        <f>IF($D51="","",VLOOKUP($D51,'[1]m glavni turnir žrebna lista'!$A$7:$R$38,17))</f>
        <v/>
      </c>
      <c r="C51" s="251" t="str">
        <f>IF($D51="","",VLOOKUP($D51,'[1]m glavni turnir žrebna lista'!$A$7:$R$38,2))</f>
        <v/>
      </c>
      <c r="D51" s="225"/>
      <c r="E51" s="252" t="s">
        <v>3</v>
      </c>
      <c r="F51" s="252" t="str">
        <f>PROPER(IF($D51="","",VLOOKUP($D51,'[1]m glavni turnir žrebna lista'!$A$7:$R$38,4)))</f>
        <v/>
      </c>
      <c r="G51" s="252"/>
      <c r="H51" s="252" t="str">
        <f>IF($D51="","",VLOOKUP($D51,'[1]m glavni turnir žrebna lista'!$A$7:$R$38,5))</f>
        <v/>
      </c>
      <c r="I51" s="226" t="str">
        <f>IF($D51="","",VLOOKUP($D51,'[1]m glavni turnir žrebna lista'!$A$7:$R$38,14))</f>
        <v/>
      </c>
      <c r="J51" s="227"/>
      <c r="K51" s="264"/>
      <c r="L51" s="254"/>
      <c r="M51" s="262"/>
      <c r="N51" s="229"/>
      <c r="O51" s="269"/>
      <c r="P51" s="229"/>
      <c r="Q51" s="269"/>
      <c r="R51" s="233"/>
      <c r="S51" s="299"/>
      <c r="T51" s="290"/>
      <c r="U51" s="291" t="str">
        <f>IF($D51="","",VLOOKUP($D51,'[1]m glavni turnir žrebna lista'!$A$7:$R$38,2))</f>
        <v/>
      </c>
      <c r="V51" s="285">
        <v>7</v>
      </c>
      <c r="W51" s="285" t="str">
        <f>UPPER(IF($D$19="","",VLOOKUP($D$19,'[1]m glavni turnir žrebna lista'!$A$7:$R$38,3)))</f>
        <v>KIMOVEC MATIC</v>
      </c>
      <c r="X51" s="285" t="str">
        <f>PROPER(IF($D$19="","",VLOOKUP($D$19,'[1]m glavni turnir žrebna lista'!$A$7:$R$38,4)))</f>
        <v/>
      </c>
      <c r="Y51" s="281" t="str">
        <f>IF(W51="","",IF($U$20&lt;&gt;$U$19,"",IF($J$21="bb",1,IF($J$21="","0",$I$21))))</f>
        <v>0</v>
      </c>
      <c r="Z51" s="281" t="str">
        <f>IF($W$45="","",IF($U$18&lt;&gt;$U$19,"",IF($L$19="bb",1,IF($L$19="","0",$K$16))))</f>
        <v/>
      </c>
      <c r="AA51" s="281" t="str">
        <f>IF($W$45="","",IF($U$14&lt;&gt;$U$19,"",IF($N$15="bb",1,IF($N$15="","0",$M$10))))</f>
        <v/>
      </c>
      <c r="AB51" s="281" t="str">
        <f>IF($W$45="","",IF($U$22&lt;&gt;$U$19,"",IF($P$23="bb",1,IF($P$23="","0",$O$30))))</f>
        <v/>
      </c>
      <c r="AC51" s="281" t="str">
        <f>IF($W$45="","",IF($U$38&lt;&gt;$U$19,"",IF($P$39="bb",1,IF($P$39="","0",$Q$54))))</f>
        <v/>
      </c>
      <c r="AD51" s="281"/>
      <c r="AE51" s="292">
        <f t="shared" si="3"/>
        <v>0</v>
      </c>
      <c r="AF51" s="283">
        <f>IF($C19="","",'m glavni - do 35 let'!$C$19)</f>
        <v>0</v>
      </c>
      <c r="AG51" s="285" t="str">
        <f>UPPER(IF($D$19="","",VLOOKUP($D$19,'[1]m glavni turnir žrebna lista'!$A$7:$R$38,3)))</f>
        <v>KIMOVEC MATIC</v>
      </c>
      <c r="AH51" s="285" t="str">
        <f>PROPER(IF($D$19="","",VLOOKUP($D$19,'[1]m glavni turnir žrebna lista'!$A$7:$R$38,4)))</f>
        <v/>
      </c>
      <c r="AI51" s="285" t="str">
        <f>UPPER(IF($D$19="","",VLOOKUP($D$19,'[1]m glavni turnir žrebna lista'!$A$7:$R$38,5)))</f>
        <v/>
      </c>
      <c r="AJ51" s="292">
        <f t="shared" si="4"/>
        <v>60</v>
      </c>
    </row>
    <row r="52" spans="1:36" s="234" customFormat="1" ht="9.6" customHeight="1">
      <c r="A52" s="239"/>
      <c r="B52" s="240"/>
      <c r="C52" s="240"/>
      <c r="D52" s="240"/>
      <c r="E52" s="241"/>
      <c r="F52" s="241"/>
      <c r="G52" s="242"/>
      <c r="H52" s="243" t="s">
        <v>87</v>
      </c>
      <c r="I52" s="244"/>
      <c r="J52" s="245" t="s">
        <v>96</v>
      </c>
      <c r="K52" s="266">
        <f>IF(OR(I52="a",I52="as"),I51,IF(OR(I52="b",I52="bs"),I53,))</f>
        <v>0</v>
      </c>
      <c r="L52" s="227"/>
      <c r="M52" s="262"/>
      <c r="N52" s="229"/>
      <c r="O52" s="269"/>
      <c r="P52" s="229"/>
      <c r="Q52" s="269"/>
      <c r="R52" s="233"/>
      <c r="S52" s="300"/>
      <c r="U52" s="301" t="str">
        <f>IF(OR(I52="a",I52="as"),C51,IF(OR(I52="b",I52="bs"),C53,""))</f>
        <v/>
      </c>
      <c r="V52" s="285">
        <v>8</v>
      </c>
      <c r="W52" s="285" t="str">
        <f>UPPER(IF($D$21="","",VLOOKUP($D$21,'[1]m glavni turnir žrebna lista'!$A$7:$R$38,3)))</f>
        <v/>
      </c>
      <c r="X52" s="285" t="str">
        <f>PROPER(IF($D$21="","",VLOOKUP($D$21,'[1]m glavni turnir žrebna lista'!$A$7:$R$38,4)))</f>
        <v/>
      </c>
      <c r="Y52" s="281" t="str">
        <f>IF(W52="","",IF($U$20&lt;&gt;$U$21,"",IF($J$21="bb",1,IF($J$21="","0",$I$19))))</f>
        <v/>
      </c>
      <c r="Z52" s="281" t="str">
        <f>IF($W$45="","",IF($U$18&lt;&gt;$U$21,"",IF($L$19="bb",1,IF($L$19="","0",$K$16))))</f>
        <v>0</v>
      </c>
      <c r="AA52" s="281" t="str">
        <f>IF($W$45="","",IF($U$14&lt;&gt;$U$21,"",IF($N$15="bb",1,IF($N$15="","0",$M$10))))</f>
        <v>0</v>
      </c>
      <c r="AB52" s="281" t="str">
        <f>IF($W$45="","",IF($U$22&lt;&gt;$U$21,"",IF($P$23="bb",1,IF($P$23="","0",$O$30))))</f>
        <v>0</v>
      </c>
      <c r="AC52" s="281" t="str">
        <f>IF($W$45="","",IF($U$38&lt;&gt;$U$21,"",IF($P$39="bb",1,IF($P$39="","0",$Q$54))))</f>
        <v>0</v>
      </c>
      <c r="AD52" s="281"/>
      <c r="AE52" s="292">
        <f t="shared" si="3"/>
        <v>0</v>
      </c>
      <c r="AF52" s="283" t="str">
        <f>IF($C21="","",'m glavni - do 35 let'!$C$21)</f>
        <v/>
      </c>
      <c r="AG52" s="285" t="str">
        <f>UPPER(IF($D$21="","",VLOOKUP($D$21,'[1]m glavni turnir žrebna lista'!$A$7:$R$38,3)))</f>
        <v/>
      </c>
      <c r="AH52" s="285" t="str">
        <f>PROPER(IF($D$21="","",VLOOKUP($D$21,'[1]m glavni turnir žrebna lista'!$A$7:$R$38,4)))</f>
        <v/>
      </c>
      <c r="AI52" s="285" t="str">
        <f>UPPER(IF($D$21="","",VLOOKUP($D$21,'[1]m glavni turnir žrebna lista'!$A$7:$R$38,5)))</f>
        <v/>
      </c>
      <c r="AJ52" s="292">
        <f t="shared" si="4"/>
        <v>0</v>
      </c>
    </row>
    <row r="53" spans="1:36" s="234" customFormat="1" ht="9.6" customHeight="1">
      <c r="A53" s="223">
        <v>24</v>
      </c>
      <c r="B53" s="224">
        <f>IF($D53="","",VLOOKUP($D53,'[1]m glavni turnir žrebna lista'!$A$7:$R$38,17))</f>
        <v>0</v>
      </c>
      <c r="C53" s="224">
        <f>IF($D53="","",VLOOKUP($D53,'[1]m glavni turnir žrebna lista'!$A$7:$R$38,2))</f>
        <v>0</v>
      </c>
      <c r="D53" s="225">
        <v>4</v>
      </c>
      <c r="E53" s="224" t="str">
        <f>UPPER(IF($D53="","",VLOOKUP($D53,'[1]m glavni turnir žrebna lista'!$A$7:$R$38,3)))</f>
        <v>PEVC PETER</v>
      </c>
      <c r="F53" s="224" t="str">
        <f>PROPER(IF($D53="","",VLOOKUP($D53,'[1]m glavni turnir žrebna lista'!$A$7:$R$38,4)))</f>
        <v>4</v>
      </c>
      <c r="G53" s="224"/>
      <c r="H53" s="224">
        <f>IF($D53="","",VLOOKUP($D53,'[1]m glavni turnir žrebna lista'!$A$7:$R$38,5))</f>
        <v>0</v>
      </c>
      <c r="I53" s="253">
        <f>IF($D53="","",VLOOKUP($D53,'[1]m glavni turnir žrebna lista'!$A$7:$R$38,14))</f>
        <v>0</v>
      </c>
      <c r="J53" s="254"/>
      <c r="K53" s="228"/>
      <c r="L53" s="227"/>
      <c r="M53" s="262"/>
      <c r="N53" s="229"/>
      <c r="O53" s="269"/>
      <c r="P53" s="229"/>
      <c r="Q53" s="269"/>
      <c r="R53" s="233"/>
      <c r="S53" s="300"/>
      <c r="U53" s="180">
        <f>IF($D53="","",VLOOKUP($D53,'[1]m glavni turnir žrebna lista'!$A$7:$R$38,2))</f>
        <v>0</v>
      </c>
      <c r="V53" s="285">
        <v>9</v>
      </c>
      <c r="W53" s="285" t="str">
        <f>UPPER(IF($D$23="","",VLOOKUP($D$23,'[1]m glavni turnir žrebna lista'!$A$7:$R$38,3)))</f>
        <v>PEČEČNIK DENIS</v>
      </c>
      <c r="X53" s="285" t="str">
        <f>PROPER(IF($D$23="","",VLOOKUP($D$23,'[1]m glavni turnir žrebna lista'!$A$7:$R$38,4)))</f>
        <v>3</v>
      </c>
      <c r="Y53" s="281" t="str">
        <f>IF(W53="","",IF($U$24&lt;&gt;$U$23,"",IF($J$25="bb",1,IF($J$25="","0",$I$25))))</f>
        <v>0</v>
      </c>
      <c r="Z53" s="281" t="str">
        <f>IF($W$45="","",IF($U$26&lt;&gt;$U$23,"",IF($L$27="bb",1,IF($L$27="","0",$K$28))))</f>
        <v/>
      </c>
      <c r="AA53" s="281" t="str">
        <f>IF($W$45="","",IF($U$30&lt;&gt;$U$23,"",IF($N$31="bb",1,IF($N$31="","0",$M$34))))</f>
        <v/>
      </c>
      <c r="AB53" s="281" t="str">
        <f>IF($W$45="","",IF($U$22&lt;&gt;$U$23,"",IF($P$23="bb",1,IF($P$23="","0",$O$14))))</f>
        <v/>
      </c>
      <c r="AC53" s="281" t="str">
        <f>IF($W$45="","",IF($U$38&lt;&gt;$U$23,"",IF($P$39="bb",1,IF($P$39="","0",$Q$54))))</f>
        <v/>
      </c>
      <c r="AD53" s="281"/>
      <c r="AE53" s="292">
        <f t="shared" si="3"/>
        <v>0</v>
      </c>
      <c r="AF53" s="283">
        <f>IF($C23="","",'m glavni - do 35 let'!$C$23)</f>
        <v>0</v>
      </c>
      <c r="AG53" s="285" t="str">
        <f>UPPER(IF($D$23="","",VLOOKUP($D$23,'[1]m glavni turnir žrebna lista'!$A$7:$R$38,3)))</f>
        <v>PEČEČNIK DENIS</v>
      </c>
      <c r="AH53" s="285" t="str">
        <f>PROPER(IF($D$23="","",VLOOKUP($D$23,'[1]m glavni turnir žrebna lista'!$A$7:$R$38,4)))</f>
        <v>3</v>
      </c>
      <c r="AI53" s="285" t="str">
        <f>UPPER(IF($D$23="","",VLOOKUP($D$23,'[1]m glavni turnir žrebna lista'!$A$7:$R$38,5)))</f>
        <v/>
      </c>
      <c r="AJ53" s="292">
        <f t="shared" si="4"/>
        <v>60</v>
      </c>
    </row>
    <row r="54" spans="1:36" s="234" customFormat="1" ht="9.6" customHeight="1">
      <c r="A54" s="239"/>
      <c r="B54" s="240"/>
      <c r="C54" s="240"/>
      <c r="D54" s="240"/>
      <c r="E54" s="268"/>
      <c r="F54" s="268"/>
      <c r="G54" s="273"/>
      <c r="H54" s="268"/>
      <c r="I54" s="257"/>
      <c r="J54" s="227"/>
      <c r="K54" s="228"/>
      <c r="L54" s="227"/>
      <c r="M54" s="262"/>
      <c r="N54" s="243" t="s">
        <v>87</v>
      </c>
      <c r="O54" s="258"/>
      <c r="P54" s="259" t="str">
        <f>UPPER(IF(OR(O54="a",O54="as"),N46,IF(OR(O54="b",O54="bs"),N62,)))</f>
        <v/>
      </c>
      <c r="Q54" s="276">
        <f>IF(OR(O54="a",O54="as"),O46,IF(OR(O54="b",O54="bs"),O62,))</f>
        <v>0</v>
      </c>
      <c r="R54" s="233"/>
      <c r="S54" s="300"/>
      <c r="U54" s="180" t="str">
        <f>IF(OR(O54="a",O54="as"),U46,IF(OR(O54="b",O54="bs"),U62,""))</f>
        <v/>
      </c>
      <c r="V54" s="285">
        <v>10</v>
      </c>
      <c r="W54" s="285" t="str">
        <f>UPPER(IF($D$25="","",VLOOKUP($D$25,'[1]m glavni turnir žrebna lista'!$A$7:$R$38,3)))</f>
        <v/>
      </c>
      <c r="X54" s="285" t="str">
        <f>PROPER(IF($D$25="","",VLOOKUP($D$25,'[1]m glavni turnir žrebna lista'!$A$7:$R$38,4)))</f>
        <v/>
      </c>
      <c r="Y54" s="281" t="str">
        <f>IF(W54="","",IF($U$24&lt;&gt;$U$25,"",IF($J$25="bb",1,IF($J$25="","0",$I$23))))</f>
        <v/>
      </c>
      <c r="Z54" s="281" t="str">
        <f>IF($W$45="","",IF($U$26&lt;&gt;$U$25,"",IF($L$27="bb",1,IF($L$27="","0",$K$28))))</f>
        <v>0</v>
      </c>
      <c r="AA54" s="281" t="str">
        <f>IF($W$45="","",IF($U$30&lt;&gt;$U$25,"",IF($N$31="bb",1,IF($N$31="","0",$M$34))))</f>
        <v>0</v>
      </c>
      <c r="AB54" s="281" t="str">
        <f>IF($W$45="","",IF($U$22&lt;&gt;$U$25,"",IF($P$23="bb",1,IF($P$23="","0",$O$14))))</f>
        <v>0</v>
      </c>
      <c r="AC54" s="281" t="str">
        <f>IF($W$45="","",IF($U$38&lt;&gt;$U$25,"",IF($P$39="bb",1,IF($P$39="","0",$Q$54))))</f>
        <v>0</v>
      </c>
      <c r="AD54" s="281"/>
      <c r="AE54" s="292">
        <f t="shared" si="3"/>
        <v>0</v>
      </c>
      <c r="AF54" s="283" t="str">
        <f>IF($C25="","",'m glavni - do 35 let'!$C$25)</f>
        <v/>
      </c>
      <c r="AG54" s="285" t="str">
        <f>UPPER(IF($D$25="","",VLOOKUP($D$25,'[1]m glavni turnir žrebna lista'!$A$7:$R$38,3)))</f>
        <v/>
      </c>
      <c r="AH54" s="285" t="str">
        <f>PROPER(IF($D$25="","",VLOOKUP($D$25,'[1]m glavni turnir žrebna lista'!$A$7:$R$38,4)))</f>
        <v/>
      </c>
      <c r="AI54" s="285" t="str">
        <f>UPPER(IF($D$25="","",VLOOKUP($D$25,'[1]m glavni turnir žrebna lista'!$A$7:$R$38,5)))</f>
        <v/>
      </c>
      <c r="AJ54" s="292">
        <f t="shared" si="4"/>
        <v>0</v>
      </c>
    </row>
    <row r="55" spans="1:36" s="234" customFormat="1" ht="9.6" customHeight="1">
      <c r="A55" s="223">
        <v>25</v>
      </c>
      <c r="B55" s="224">
        <f>IF($D55="","",VLOOKUP($D55,'[1]m glavni turnir žrebna lista'!$A$7:$R$38,17))</f>
        <v>0</v>
      </c>
      <c r="C55" s="224">
        <f>IF($D55="","",VLOOKUP($D55,'[1]m glavni turnir žrebna lista'!$A$7:$R$38,2))</f>
        <v>0</v>
      </c>
      <c r="D55" s="225">
        <v>15</v>
      </c>
      <c r="E55" s="252" t="str">
        <f>UPPER(IF($D55="","",VLOOKUP($D55,'[1]m glavni turnir žrebna lista'!$A$7:$R$38,3)))</f>
        <v>ZALAR TILEN</v>
      </c>
      <c r="F55" s="224" t="str">
        <f>PROPER(IF($D55="","",VLOOKUP($D55,'[1]m glavni turnir žrebna lista'!$A$7:$R$38,4)))</f>
        <v/>
      </c>
      <c r="G55" s="224"/>
      <c r="H55" s="224">
        <f>IF($D55="","",VLOOKUP($D55,'[1]m glavni turnir žrebna lista'!$A$7:$R$38,5))</f>
        <v>0</v>
      </c>
      <c r="I55" s="226">
        <f>IF($D55="","",VLOOKUP($D55,'[1]m glavni turnir žrebna lista'!$A$7:$R$38,14))</f>
        <v>0</v>
      </c>
      <c r="J55" s="227"/>
      <c r="K55" s="228"/>
      <c r="L55" s="227"/>
      <c r="M55" s="262"/>
      <c r="N55" s="229"/>
      <c r="O55" s="269"/>
      <c r="P55" s="254"/>
      <c r="Q55" s="230"/>
      <c r="R55" s="233"/>
      <c r="S55" s="300"/>
      <c r="U55" s="180">
        <f>IF($D55="","",VLOOKUP($D55,'[1]m glavni turnir žrebna lista'!$A$7:$R$38,2))</f>
        <v>0</v>
      </c>
      <c r="V55" s="285">
        <v>11</v>
      </c>
      <c r="W55" s="285" t="str">
        <f>UPPER(IF($D$27="","",VLOOKUP($D$27,'[1]m glavni turnir žrebna lista'!$A$7:$R$38,3)))</f>
        <v>SUŠNIK URBAN</v>
      </c>
      <c r="X55" s="285" t="str">
        <f>PROPER(IF($D$27="","",VLOOKUP($D$27,'[1]m glavni turnir žrebna lista'!$A$7:$R$38,4)))</f>
        <v/>
      </c>
      <c r="Y55" s="281" t="str">
        <f>IF(W55="","",IF($U$28&lt;&gt;$U$27,"",IF($J$29="bb",1,IF($J$29="","0",$I$29))))</f>
        <v>0</v>
      </c>
      <c r="Z55" s="281" t="str">
        <f>IF($W$45="","",IF($U$26&lt;&gt;$U$27,"",IF($L$27="bb",1,IF($L$27="","0",$K$24))))</f>
        <v/>
      </c>
      <c r="AA55" s="281" t="str">
        <f>IF($W$45="","",IF($U$30&lt;&gt;$U$27,"",IF($N$31="bb",1,IF($N$31="","0",$M$34))))</f>
        <v/>
      </c>
      <c r="AB55" s="281" t="str">
        <f>IF($W$45="","",IF($U$22&lt;&gt;$U$27,"",IF($P$23="bb",1,IF($P$23="","0",$O$14))))</f>
        <v/>
      </c>
      <c r="AC55" s="281" t="str">
        <f>IF($W$45="","",IF($U$38&lt;&gt;$U$27,"",IF($P$39="bb",1,IF($P$39="","0",$Q$54))))</f>
        <v/>
      </c>
      <c r="AD55" s="281"/>
      <c r="AE55" s="292">
        <f t="shared" si="3"/>
        <v>0</v>
      </c>
      <c r="AF55" s="283">
        <f>IF($C27="","",'m glavni - do 35 let'!$C$27)</f>
        <v>0</v>
      </c>
      <c r="AG55" s="285" t="str">
        <f>UPPER(IF($D$27="","",VLOOKUP($D$27,'[1]m glavni turnir žrebna lista'!$A$7:$R$38,3)))</f>
        <v>SUŠNIK URBAN</v>
      </c>
      <c r="AH55" s="285" t="str">
        <f>PROPER(IF($D$27="","",VLOOKUP($D$27,'[1]m glavni turnir žrebna lista'!$A$7:$R$38,4)))</f>
        <v/>
      </c>
      <c r="AI55" s="285" t="str">
        <f>UPPER(IF($D$27="","",VLOOKUP($D$27,'[1]m glavni turnir žrebna lista'!$A$7:$R$38,5)))</f>
        <v/>
      </c>
      <c r="AJ55" s="292">
        <f t="shared" si="4"/>
        <v>60</v>
      </c>
    </row>
    <row r="56" spans="1:36" s="234" customFormat="1" ht="9.6" customHeight="1">
      <c r="A56" s="239"/>
      <c r="B56" s="240"/>
      <c r="C56" s="240"/>
      <c r="D56" s="240"/>
      <c r="E56" s="241"/>
      <c r="F56" s="241"/>
      <c r="G56" s="242"/>
      <c r="H56" s="243" t="s">
        <v>87</v>
      </c>
      <c r="I56" s="244" t="s">
        <v>88</v>
      </c>
      <c r="J56" s="259" t="str">
        <f>UPPER(IF(OR(I56="a",I56="as"),E55,IF(OR(I56="b",I56="bs"),E57,)))</f>
        <v>ZALAR TILEN</v>
      </c>
      <c r="K56" s="246">
        <f>IF(OR(I56="a",I56="as"),I55,IF(OR(I56="b",I56="bs"),I57,))</f>
        <v>0</v>
      </c>
      <c r="L56" s="227"/>
      <c r="M56" s="262"/>
      <c r="N56" s="229"/>
      <c r="O56" s="269"/>
      <c r="P56" s="229"/>
      <c r="Q56" s="230"/>
      <c r="R56" s="233"/>
      <c r="S56" s="300"/>
      <c r="U56" s="180">
        <f>IF(OR(I56="a",I56="as"),C55,IF(OR(I56="b",I56="bs"),C57,""))</f>
        <v>0</v>
      </c>
      <c r="V56" s="285">
        <v>12</v>
      </c>
      <c r="W56" s="285" t="str">
        <f>UPPER(IF($D$29="","",VLOOKUP($D$29,'[1]m glavni turnir žrebna lista'!$A$7:$R$38,3)))</f>
        <v/>
      </c>
      <c r="X56" s="285" t="str">
        <f>PROPER(IF($D$29="","",VLOOKUP($D$29,'[1]m glavni turnir žrebna lista'!$A$7:$R$38,4)))</f>
        <v/>
      </c>
      <c r="Y56" s="281" t="str">
        <f>IF(W56="","",IF($U$28&lt;&gt;$U$29,"",IF($J$29="bb",1,IF($J$29="","0",$I$27))))</f>
        <v/>
      </c>
      <c r="Z56" s="281" t="str">
        <f>IF($W$45="","",IF($U$26&lt;&gt;$U$29,"",IF($L$27="bb",1,IF($L$27="","0",$K$24))))</f>
        <v>0</v>
      </c>
      <c r="AA56" s="281" t="str">
        <f>IF($W$45="","",IF($U$30&lt;&gt;$U$29,"",IF($N$31="bb",1,IF($N$31="","0",$M$34))))</f>
        <v>0</v>
      </c>
      <c r="AB56" s="281" t="str">
        <f>IF($W$45="","",IF($U$22&lt;&gt;$U$29,"",IF($P$23="bb",1,IF($P$23="","0",$O$14))))</f>
        <v>0</v>
      </c>
      <c r="AC56" s="281" t="str">
        <f>IF($W$45="","",IF($U$38&lt;&gt;$U$29,"",IF($P$39="bb",1,IF($P$39="","0",$Q$54))))</f>
        <v>0</v>
      </c>
      <c r="AD56" s="281"/>
      <c r="AE56" s="292">
        <f t="shared" si="3"/>
        <v>0</v>
      </c>
      <c r="AF56" s="283" t="str">
        <f>IF($C29="","",'m glavni - do 35 let'!$C$29)</f>
        <v/>
      </c>
      <c r="AG56" s="285" t="str">
        <f>UPPER(IF($D$29="","",VLOOKUP($D$29,'[1]m glavni turnir žrebna lista'!$A$7:$R$38,3)))</f>
        <v/>
      </c>
      <c r="AH56" s="285" t="str">
        <f>PROPER(IF($D$29="","",VLOOKUP($D$29,'[1]m glavni turnir žrebna lista'!$A$7:$R$38,4)))</f>
        <v/>
      </c>
      <c r="AI56" s="285" t="str">
        <f>UPPER(IF($D$29="","",VLOOKUP($D$29,'[1]m glavni turnir žrebna lista'!$A$7:$R$38,5)))</f>
        <v/>
      </c>
      <c r="AJ56" s="292">
        <f t="shared" si="4"/>
        <v>0</v>
      </c>
    </row>
    <row r="57" spans="1:36" s="234" customFormat="1" ht="9.6" customHeight="1">
      <c r="A57" s="239">
        <v>26</v>
      </c>
      <c r="B57" s="251" t="str">
        <f>IF($D57="","",VLOOKUP($D57,'[1]m glavni turnir žrebna lista'!$A$7:$R$38,17))</f>
        <v/>
      </c>
      <c r="C57" s="251" t="str">
        <f>IF($D57="","",VLOOKUP($D57,'[1]m glavni turnir žrebna lista'!$A$7:$R$38,2))</f>
        <v/>
      </c>
      <c r="D57" s="225"/>
      <c r="E57" s="252" t="s">
        <v>3</v>
      </c>
      <c r="F57" s="252" t="str">
        <f>PROPER(IF($D57="","",VLOOKUP($D57,'[1]m glavni turnir žrebna lista'!$A$7:$R$38,4)))</f>
        <v/>
      </c>
      <c r="G57" s="252"/>
      <c r="H57" s="252" t="str">
        <f>IF($D57="","",VLOOKUP($D57,'[1]m glavni turnir žrebna lista'!$A$7:$R$38,5))</f>
        <v/>
      </c>
      <c r="I57" s="253" t="str">
        <f>IF($D57="","",VLOOKUP($D57,'[1]m glavni turnir žrebna lista'!$A$7:$R$38,14))</f>
        <v/>
      </c>
      <c r="J57" s="254"/>
      <c r="K57" s="255"/>
      <c r="L57" s="227"/>
      <c r="M57" s="229"/>
      <c r="O57" s="269"/>
      <c r="P57" s="229"/>
      <c r="Q57" s="230"/>
      <c r="R57" s="233"/>
      <c r="S57" s="300"/>
      <c r="U57" s="180" t="str">
        <f>IF($D57="","",VLOOKUP($D57,'[1]m glavni turnir žrebna lista'!$A$7:$R$38,2))</f>
        <v/>
      </c>
      <c r="V57" s="285">
        <v>13</v>
      </c>
      <c r="W57" s="285" t="str">
        <f>UPPER(IF($D$31="","",VLOOKUP($D$31,'[1]m glavni turnir žrebna lista'!$A$7:$R$38,3)))</f>
        <v>ZAJEC GABER</v>
      </c>
      <c r="X57" s="285" t="str">
        <f>PROPER(IF($D$31="","",VLOOKUP($D$31,'[1]m glavni turnir žrebna lista'!$A$7:$R$38,4)))</f>
        <v/>
      </c>
      <c r="Y57" s="281" t="str">
        <f>IF(W57="","",IF($U$32&lt;&gt;$U$31,"",IF($J$33="bb",1,IF($J$33="","0",$I$33))))</f>
        <v>0</v>
      </c>
      <c r="Z57" s="281">
        <f>IF($W$45="","",IF($U$34&lt;&gt;$U$31,"",IF($L$35="bb",1,IF($L$35="","0",$K$36))))</f>
        <v>1</v>
      </c>
      <c r="AA57" s="281" t="str">
        <f>IF($W$45="","",IF($U$30&lt;&gt;$U$31,"",IF($N$31="bb",1,IF($N$31="","0",$M$26))))</f>
        <v/>
      </c>
      <c r="AB57" s="281" t="str">
        <f>IF($W$45="","",IF($U$22&lt;&gt;$U$31,"",IF($P$23="bb",1,IF($P$23="","0",$O$14))))</f>
        <v/>
      </c>
      <c r="AC57" s="281" t="str">
        <f>IF($W$45="","",IF($U$38&lt;&gt;$U$31,"",IF($P$39="bb",1,IF($P$39="","0",$Q$54))))</f>
        <v/>
      </c>
      <c r="AD57" s="281"/>
      <c r="AE57" s="292">
        <f t="shared" si="3"/>
        <v>1</v>
      </c>
      <c r="AF57" s="283">
        <f>IF($C31="","",'m glavni - do 35 let'!$C$31)</f>
        <v>0</v>
      </c>
      <c r="AG57" s="285" t="str">
        <f>UPPER(IF($D$31="","",VLOOKUP($D$31,'[1]m glavni turnir žrebna lista'!$A$7:$R$38,3)))</f>
        <v>ZAJEC GABER</v>
      </c>
      <c r="AH57" s="285" t="str">
        <f>PROPER(IF($D$31="","",VLOOKUP($D$31,'[1]m glavni turnir žrebna lista'!$A$7:$R$38,4)))</f>
        <v/>
      </c>
      <c r="AI57" s="285" t="str">
        <f>UPPER(IF($D$31="","",VLOOKUP($D$31,'[1]m glavni turnir žrebna lista'!$A$7:$R$38,5)))</f>
        <v/>
      </c>
      <c r="AJ57" s="292">
        <f t="shared" si="4"/>
        <v>121</v>
      </c>
    </row>
    <row r="58" spans="1:36" s="234" customFormat="1" ht="9.6" customHeight="1">
      <c r="A58" s="239"/>
      <c r="B58" s="240"/>
      <c r="C58" s="240"/>
      <c r="D58" s="256"/>
      <c r="E58" s="241"/>
      <c r="F58" s="241"/>
      <c r="G58" s="242"/>
      <c r="H58" s="241"/>
      <c r="I58" s="257"/>
      <c r="J58" s="243" t="s">
        <v>87</v>
      </c>
      <c r="K58" s="258"/>
      <c r="L58" s="259" t="str">
        <f>UPPER(IF(OR(K58="a",K58="as"),J56,IF(OR(K58="b",K58="bs"),J60,)))</f>
        <v/>
      </c>
      <c r="M58" s="260">
        <f>IF(OR(K58="a",K58="as"),K56,IF(OR(K58="b",K58="bs"),K60,))</f>
        <v>0</v>
      </c>
      <c r="N58" s="229"/>
      <c r="O58" s="269"/>
      <c r="P58" s="229"/>
      <c r="Q58" s="230"/>
      <c r="R58" s="233"/>
      <c r="S58" s="300"/>
      <c r="U58" s="180" t="str">
        <f>IF(OR(K58="a",K58="as"),U56,IF(OR(K58="b",K58="bs"),U60,""))</f>
        <v/>
      </c>
      <c r="V58" s="285">
        <v>14</v>
      </c>
      <c r="W58" s="285" t="str">
        <f>UPPER(IF($D$33="","",VLOOKUP($D$33,'[1]m glavni turnir žrebna lista'!$A$7:$R$38,3)))</f>
        <v/>
      </c>
      <c r="X58" s="285" t="str">
        <f>PROPER(IF($D$33="","",VLOOKUP($D$33,'[1]m glavni turnir žrebna lista'!$A$7:$R$38,4)))</f>
        <v/>
      </c>
      <c r="Y58" s="281" t="str">
        <f>IF(W58="","",IF($U$32&lt;&gt;$U$33,"",IF($J$33="bb",1,IF($J$33="","0",$I$31))))</f>
        <v/>
      </c>
      <c r="Z58" s="281" t="str">
        <f>IF($W$45="","",IF($U$34&lt;&gt;$U$33,"",IF($L$35="bb",1,IF($L$35="","0",$K$36))))</f>
        <v/>
      </c>
      <c r="AA58" s="281" t="str">
        <f>IF($W$45="","",IF($U$30&lt;&gt;$U$33,"",IF($N$31="bb",1,IF($N$31="","0",$M$26))))</f>
        <v>0</v>
      </c>
      <c r="AB58" s="281" t="str">
        <f>IF($W$45="","",IF($U$22&lt;&gt;$U$33,"",IF($P$23="bb",1,IF($P$23="","0",$O$14))))</f>
        <v>0</v>
      </c>
      <c r="AC58" s="281" t="str">
        <f>IF($W$45="","",IF($U$38&lt;&gt;$U$33,"",IF($P$39="bb",1,IF($P$39="","0",$Q$54))))</f>
        <v>0</v>
      </c>
      <c r="AD58" s="281"/>
      <c r="AE58" s="292">
        <f t="shared" si="3"/>
        <v>0</v>
      </c>
      <c r="AF58" s="283" t="str">
        <f>IF($C33="","",'m glavni - do 35 let'!$C$33)</f>
        <v/>
      </c>
      <c r="AG58" s="285" t="str">
        <f>UPPER(IF($D$33="","",VLOOKUP($D$33,'[1]m glavni turnir žrebna lista'!$A$7:$R$38,3)))</f>
        <v/>
      </c>
      <c r="AH58" s="285" t="str">
        <f>PROPER(IF($D$33="","",VLOOKUP($D$33,'[1]m glavni turnir žrebna lista'!$A$7:$R$38,4)))</f>
        <v/>
      </c>
      <c r="AI58" s="285" t="str">
        <f>UPPER(IF($D$33="","",VLOOKUP($D$33,'[1]m glavni turnir žrebna lista'!$A$7:$R$38,5)))</f>
        <v/>
      </c>
      <c r="AJ58" s="292">
        <f t="shared" si="4"/>
        <v>0</v>
      </c>
    </row>
    <row r="59" spans="1:36" s="234" customFormat="1" ht="9.6" customHeight="1">
      <c r="A59" s="239">
        <v>27</v>
      </c>
      <c r="B59" s="251">
        <f>IF($D59="","",VLOOKUP($D59,'[1]m glavni turnir žrebna lista'!$A$7:$R$38,17))</f>
        <v>0</v>
      </c>
      <c r="C59" s="251">
        <f>IF($D59="","",VLOOKUP($D59,'[1]m glavni turnir žrebna lista'!$A$7:$R$38,2))</f>
        <v>0</v>
      </c>
      <c r="D59" s="225">
        <v>5</v>
      </c>
      <c r="E59" s="252" t="str">
        <f>UPPER(IF($D59="","",VLOOKUP($D59,'[1]m glavni turnir žrebna lista'!$A$7:$R$38,3)))</f>
        <v>BIŠČAK URBAN</v>
      </c>
      <c r="F59" s="252" t="str">
        <f>PROPER(IF($D59="","",VLOOKUP($D59,'[1]m glavni turnir žrebna lista'!$A$7:$R$38,4)))</f>
        <v/>
      </c>
      <c r="G59" s="252"/>
      <c r="H59" s="252">
        <f>IF($D59="","",VLOOKUP($D59,'[1]m glavni turnir žrebna lista'!$A$7:$R$38,5))</f>
        <v>0</v>
      </c>
      <c r="I59" s="226">
        <f>IF($D59="","",VLOOKUP($D59,'[1]m glavni turnir žrebna lista'!$A$7:$R$38,14))</f>
        <v>0</v>
      </c>
      <c r="J59" s="227"/>
      <c r="K59" s="264"/>
      <c r="L59" s="254"/>
      <c r="M59" s="265"/>
      <c r="N59" s="229"/>
      <c r="O59" s="269"/>
      <c r="P59" s="229"/>
      <c r="Q59" s="230"/>
      <c r="R59" s="302"/>
      <c r="S59" s="300"/>
      <c r="U59" s="180">
        <f>IF($D59="","",VLOOKUP($D59,'[1]m glavni turnir žrebna lista'!$A$7:$R$38,2))</f>
        <v>0</v>
      </c>
      <c r="V59" s="285">
        <v>15</v>
      </c>
      <c r="W59" s="285" t="str">
        <f>UPPER(IF($D$35="","",VLOOKUP($D$35,'[1]m glavni turnir žrebna lista'!$A$7:$R$38,3)))</f>
        <v>OGRIČ MIHA</v>
      </c>
      <c r="X59" s="285" t="str">
        <f>PROPER(IF($D$35="","",VLOOKUP($D$35,'[1]m glavni turnir žrebna lista'!$A$7:$R$38,4)))</f>
        <v/>
      </c>
      <c r="Y59" s="281" t="str">
        <f>IF(W59="","",IF($U$36&lt;&gt;$U$35,"",IF($J$37="bb",1,IF($J$37="","0",$I$37))))</f>
        <v>0</v>
      </c>
      <c r="Z59" s="281">
        <f>IF($W$45="","",IF($U$34&lt;&gt;$U$35,"",IF($L$35="bb",1,IF($L$35="","0",$K$32))))</f>
        <v>1</v>
      </c>
      <c r="AA59" s="281" t="str">
        <f>IF($W$45="","",IF($U$30&lt;&gt;$U$35,"",IF($N$31="bb",1,IF($N$31="","0",$M$26))))</f>
        <v/>
      </c>
      <c r="AB59" s="281" t="str">
        <f>IF($W$45="","",IF($U$22&lt;&gt;$U$35,"",IF($P$23="bb",1,IF($P$23="","0",$O$14))))</f>
        <v/>
      </c>
      <c r="AC59" s="281" t="str">
        <f>IF($W$45="","",IF($U$38&lt;&gt;$U$35,"",IF($P$39="bb",1,IF($P$39="","0",$Q$54))))</f>
        <v/>
      </c>
      <c r="AD59" s="281"/>
      <c r="AE59" s="292">
        <f t="shared" si="3"/>
        <v>1</v>
      </c>
      <c r="AF59" s="283">
        <f>IF($C35="","",'m glavni - do 35 let'!$C$35)</f>
        <v>0</v>
      </c>
      <c r="AG59" s="285" t="str">
        <f>UPPER(IF($D$35="","",VLOOKUP($D$35,'[1]m glavni turnir žrebna lista'!$A$7:$R$38,3)))</f>
        <v>OGRIČ MIHA</v>
      </c>
      <c r="AH59" s="285" t="str">
        <f>PROPER(IF($D$35="","",VLOOKUP($D$35,'[1]m glavni turnir žrebna lista'!$A$7:$R$38,4)))</f>
        <v/>
      </c>
      <c r="AI59" s="285" t="str">
        <f>UPPER(IF($D$35="","",VLOOKUP($D$35,'[1]m glavni turnir žrebna lista'!$A$7:$R$38,5)))</f>
        <v/>
      </c>
      <c r="AJ59" s="292">
        <f t="shared" si="4"/>
        <v>121</v>
      </c>
    </row>
    <row r="60" spans="1:36" s="234" customFormat="1" ht="9.6" customHeight="1">
      <c r="A60" s="239"/>
      <c r="B60" s="240"/>
      <c r="C60" s="240"/>
      <c r="D60" s="256"/>
      <c r="E60" s="241"/>
      <c r="F60" s="241"/>
      <c r="G60" s="242"/>
      <c r="H60" s="243" t="s">
        <v>87</v>
      </c>
      <c r="I60" s="244" t="s">
        <v>88</v>
      </c>
      <c r="J60" s="259" t="str">
        <f>UPPER(IF(OR(I60="a",I60="as"),E59,IF(OR(I60="b",I60="bs"),E61,)))</f>
        <v>BIŠČAK URBAN</v>
      </c>
      <c r="K60" s="266">
        <f>IF(OR(I60="a",I60="as"),I59,IF(OR(I60="b",I60="bs"),I61,))</f>
        <v>0</v>
      </c>
      <c r="L60" s="227"/>
      <c r="M60" s="265"/>
      <c r="N60" s="229"/>
      <c r="O60" s="269"/>
      <c r="P60" s="526"/>
      <c r="Q60" s="527"/>
      <c r="R60" s="233"/>
      <c r="S60" s="300"/>
      <c r="U60" s="180">
        <f>IF(OR(I60="a",I60="as"),C59,IF(OR(I60="b",I60="bs"),C61,""))</f>
        <v>0</v>
      </c>
      <c r="V60" s="285">
        <v>16</v>
      </c>
      <c r="W60" s="285" t="str">
        <f>UPPER(IF($D$37="","",VLOOKUP($D$37,'[1]m glavni turnir žrebna lista'!$A$7:$R$38,3)))</f>
        <v/>
      </c>
      <c r="X60" s="285" t="str">
        <f>PROPER(IF($D$37="","",VLOOKUP($D$37,'[1]m glavni turnir žrebna lista'!$A$7:$R$38,4)))</f>
        <v/>
      </c>
      <c r="Y60" s="281" t="str">
        <f>IF(W60="","",IF($U$36&lt;&gt;$U$37,"",IF($J$37="bb",1,IF($J$37="","0",$I$35))))</f>
        <v/>
      </c>
      <c r="Z60" s="281" t="str">
        <f>IF($W$45="","",IF($U$34&lt;&gt;$U$37,"",IF($L$35="bb",1,IF($L$35="","0",$K$32))))</f>
        <v/>
      </c>
      <c r="AA60" s="281" t="str">
        <f>IF($W$45="","",IF($U$30&lt;&gt;$U$37,"",IF($N$31="bb",1,IF($N$31="","0",$M$26))))</f>
        <v>0</v>
      </c>
      <c r="AB60" s="281" t="str">
        <f>IF($W$45="","",IF($U$22&lt;&gt;$U$37,"",IF($P$23="bb",1,IF($P$23="","0",$O$14))))</f>
        <v>0</v>
      </c>
      <c r="AC60" s="281" t="str">
        <f>IF($W$45="","",IF($U$38&lt;&gt;$U$37,"",IF($P$39="bb",1,IF($P$39="","0",$Q$54))))</f>
        <v>0</v>
      </c>
      <c r="AD60" s="281"/>
      <c r="AE60" s="292">
        <f t="shared" si="3"/>
        <v>0</v>
      </c>
      <c r="AF60" s="283" t="str">
        <f>IF($C37="","",'m glavni - do 35 let'!$C$37)</f>
        <v/>
      </c>
      <c r="AG60" s="285" t="str">
        <f>UPPER(IF($D$37="","",VLOOKUP($D$37,'[1]m glavni turnir žrebna lista'!$A$7:$R$38,3)))</f>
        <v/>
      </c>
      <c r="AH60" s="285" t="str">
        <f>PROPER(IF($D$37="","",VLOOKUP($D$37,'[1]m glavni turnir žrebna lista'!$A$7:$R$38,4)))</f>
        <v/>
      </c>
      <c r="AI60" s="285" t="str">
        <f>UPPER(IF($D$37="","",VLOOKUP($D$37,'[1]m glavni turnir žrebna lista'!$A$7:$R$38,5)))</f>
        <v/>
      </c>
      <c r="AJ60" s="292">
        <f t="shared" si="4"/>
        <v>0</v>
      </c>
    </row>
    <row r="61" spans="1:36" s="234" customFormat="1" ht="9.6" customHeight="1">
      <c r="A61" s="239">
        <v>28</v>
      </c>
      <c r="B61" s="251" t="str">
        <f>IF($D61="","",VLOOKUP($D61,'[1]m glavni turnir žrebna lista'!$A$7:$R$38,17))</f>
        <v/>
      </c>
      <c r="C61" s="251" t="str">
        <f>IF($D61="","",VLOOKUP($D61,'[1]m glavni turnir žrebna lista'!$A$7:$R$38,2))</f>
        <v/>
      </c>
      <c r="D61" s="225"/>
      <c r="E61" s="252" t="s">
        <v>3</v>
      </c>
      <c r="F61" s="252" t="str">
        <f>PROPER(IF($D61="","",VLOOKUP($D61,'[1]m glavni turnir žrebna lista'!$A$7:$R$38,4)))</f>
        <v/>
      </c>
      <c r="G61" s="252"/>
      <c r="H61" s="252" t="str">
        <f>IF($D61="","",VLOOKUP($D61,'[1]m glavni turnir žrebna lista'!$A$7:$R$38,5))</f>
        <v/>
      </c>
      <c r="I61" s="253" t="str">
        <f>IF($D61="","",VLOOKUP($D61,'[1]m glavni turnir žrebna lista'!$A$7:$R$38,14))</f>
        <v/>
      </c>
      <c r="J61" s="254"/>
      <c r="K61" s="228"/>
      <c r="L61" s="227"/>
      <c r="M61" s="265"/>
      <c r="N61" s="229"/>
      <c r="O61" s="303"/>
      <c r="P61" s="526" t="s">
        <v>97</v>
      </c>
      <c r="Q61" s="528"/>
      <c r="R61" s="233"/>
      <c r="S61" s="300"/>
      <c r="U61" s="180" t="str">
        <f>IF($D61="","",VLOOKUP($D61,'[1]m glavni turnir žrebna lista'!$A$7:$R$38,2))</f>
        <v/>
      </c>
      <c r="V61" s="285">
        <v>17</v>
      </c>
      <c r="W61" s="285" t="str">
        <f>UPPER(IF($D$39="","",VLOOKUP($D$39,'[1]m glavni turnir žrebna lista'!$A$7:$R$38,3)))</f>
        <v/>
      </c>
      <c r="X61" s="285" t="str">
        <f>PROPER(IF($D$39="","",VLOOKUP($D$39,'[1]m glavni turnir žrebna lista'!$A$7:$R$38,4)))</f>
        <v/>
      </c>
      <c r="Y61" s="281" t="str">
        <f>IF(W61="","",IF($U$40&lt;&gt;$U$39,"",IF($J$41="bb",1,IF($J$41="","0",$I$41))))</f>
        <v/>
      </c>
      <c r="Z61" s="281" t="str">
        <f>IF($W$45="","",IF($U$42&lt;&gt;$U$39,"",IF($L$43="bb",1,IF($L$43="","0",$K$44))))</f>
        <v>0</v>
      </c>
      <c r="AA61" s="281" t="str">
        <f>IF($W$45="","",IF($U$46&lt;&gt;$U$39,"",IF($N$47="bb",1,IF($N$47="","0",$M$50))))</f>
        <v>0</v>
      </c>
      <c r="AB61" s="281" t="str">
        <f>IF($W$45="","",IF($U$54&lt;&gt;$U$39,"",IF($P$55="bb",1,IF($P$55="","0",$O$62))))</f>
        <v>0</v>
      </c>
      <c r="AC61" s="281" t="str">
        <f>IF($W$45="","",IF($U$38&lt;&gt;$U$39,"",IF($P$39="bb",1,IF($P$39="","0",$Q$22))))</f>
        <v>0</v>
      </c>
      <c r="AD61" s="281"/>
      <c r="AE61" s="292">
        <f t="shared" si="3"/>
        <v>0</v>
      </c>
      <c r="AF61" s="283" t="str">
        <f>IF($C39="","",'m glavni - do 35 let'!$C$39)</f>
        <v/>
      </c>
      <c r="AG61" s="285" t="str">
        <f>UPPER(IF($D$39="","",VLOOKUP($D$39,'[1]m glavni turnir žrebna lista'!$A$7:$R$38,3)))</f>
        <v/>
      </c>
      <c r="AH61" s="285" t="str">
        <f>PROPER(IF($D$39="","",VLOOKUP($D$39,'[1]m glavni turnir žrebna lista'!$A$7:$R$38,4)))</f>
        <v/>
      </c>
      <c r="AI61" s="285" t="str">
        <f>UPPER(IF($D$39="","",VLOOKUP($D$39,'[1]m glavni turnir žrebna lista'!$A$7:$R$38,5)))</f>
        <v/>
      </c>
      <c r="AJ61" s="292">
        <f t="shared" si="4"/>
        <v>0</v>
      </c>
    </row>
    <row r="62" spans="1:36" s="234" customFormat="1" ht="9.6" customHeight="1">
      <c r="A62" s="239"/>
      <c r="B62" s="240"/>
      <c r="C62" s="240"/>
      <c r="D62" s="256"/>
      <c r="E62" s="227"/>
      <c r="F62" s="227"/>
      <c r="G62" s="267"/>
      <c r="H62" s="268"/>
      <c r="I62" s="257"/>
      <c r="J62" s="227"/>
      <c r="K62" s="228"/>
      <c r="L62" s="243" t="s">
        <v>87</v>
      </c>
      <c r="M62" s="258"/>
      <c r="N62" s="259" t="str">
        <f>UPPER(IF(OR(M62="a",M62="as"),L58,IF(OR(M62="b",M62="bs"),L66,)))</f>
        <v/>
      </c>
      <c r="O62" s="297">
        <f>IF(OR(M62="a",M62="as"),M58,IF(OR(M62="b",M62="bs"),M66,))</f>
        <v>0</v>
      </c>
      <c r="P62" s="526"/>
      <c r="Q62" s="528"/>
      <c r="R62" s="304" t="str">
        <f>IF($R$63&gt;=310,1,IF($R$63&gt;=220,2,IF($R$63&gt;=10,3,"")))</f>
        <v/>
      </c>
      <c r="S62" s="300"/>
      <c r="U62" s="180" t="str">
        <f>IF(OR(M62="a",M62="as"),U58,IF(OR(M62="b",M62="bs"),U66,""))</f>
        <v/>
      </c>
      <c r="V62" s="285">
        <v>18</v>
      </c>
      <c r="W62" s="285" t="str">
        <f>UPPER(IF($D$41="","",VLOOKUP($D$41,'[1]m glavni turnir žrebna lista'!$A$7:$R$38,3)))</f>
        <v>MIHELIČ GAŠPER</v>
      </c>
      <c r="X62" s="285" t="str">
        <f>PROPER(IF($D$41="","",VLOOKUP($D$41,'[1]m glavni turnir žrebna lista'!$A$7:$R$38,4)))</f>
        <v/>
      </c>
      <c r="Y62" s="281" t="str">
        <f>IF(W62="","",IF($U$40&lt;&gt;$U$41,"",IF($J$41="bb",1,IF($J$41="","0",$I$39))))</f>
        <v/>
      </c>
      <c r="Z62" s="281" t="str">
        <f>IF($W$45="","",IF($U$42&lt;&gt;$U$41,"",IF($L$43="bb",1,IF($L$43="","0",$K$44))))</f>
        <v/>
      </c>
      <c r="AA62" s="281" t="str">
        <f>IF($W$45="","",IF($U$46&lt;&gt;$U$41,"",IF($N$47="bb",1,IF($N$47="","0",$M$50))))</f>
        <v/>
      </c>
      <c r="AB62" s="281" t="str">
        <f>IF($W$45="","",IF($U$54&lt;&gt;$U$41,"",IF($P$55="bb",1,IF($P$55="","0",$O$62))))</f>
        <v/>
      </c>
      <c r="AC62" s="281" t="str">
        <f>IF($W$45="","",IF($U$38&lt;&gt;$U$41,"",IF($P$39="bb",1,IF($P$39="","0",$Q$22))))</f>
        <v/>
      </c>
      <c r="AD62" s="281"/>
      <c r="AE62" s="292">
        <f t="shared" si="3"/>
        <v>0</v>
      </c>
      <c r="AF62" s="283">
        <f>IF($C41="","",'m glavni - do 35 let'!$C$41)</f>
        <v>0</v>
      </c>
      <c r="AG62" s="285" t="str">
        <f>UPPER(IF($D$41="","",VLOOKUP($D$41,'[1]m glavni turnir žrebna lista'!$A$7:$R$38,3)))</f>
        <v>MIHELIČ GAŠPER</v>
      </c>
      <c r="AH62" s="285" t="str">
        <f>PROPER(IF($D$41="","",VLOOKUP($D$41,'[1]m glavni turnir žrebna lista'!$A$7:$R$38,4)))</f>
        <v/>
      </c>
      <c r="AI62" s="285" t="str">
        <f>UPPER(IF($D$41="","",VLOOKUP($D$41,'[1]m glavni turnir žrebna lista'!$A$7:$R$38,5)))</f>
        <v/>
      </c>
      <c r="AJ62" s="292">
        <f t="shared" si="4"/>
        <v>30</v>
      </c>
    </row>
    <row r="63" spans="1:36" s="234" customFormat="1" ht="9.6" customHeight="1">
      <c r="A63" s="239">
        <v>29</v>
      </c>
      <c r="B63" s="251">
        <f>IF($D63="","",VLOOKUP($D63,'[1]m glavni turnir žrebna lista'!$A$7:$R$38,17))</f>
        <v>0</v>
      </c>
      <c r="C63" s="251">
        <f>IF($D63="","",VLOOKUP($D63,'[1]m glavni turnir žrebna lista'!$A$7:$R$38,2))</f>
        <v>0</v>
      </c>
      <c r="D63" s="225">
        <v>6</v>
      </c>
      <c r="E63" s="252" t="str">
        <f>UPPER(IF($D63="","",VLOOKUP($D63,'[1]m glavni turnir žrebna lista'!$A$7:$R$38,3)))</f>
        <v>BREULJ ROK</v>
      </c>
      <c r="F63" s="252" t="str">
        <f>PROPER(IF($D63="","",VLOOKUP($D63,'[1]m glavni turnir žrebna lista'!$A$7:$R$38,4)))</f>
        <v/>
      </c>
      <c r="G63" s="252"/>
      <c r="H63" s="252">
        <f>IF($D63="","",VLOOKUP($D63,'[1]m glavni turnir žrebna lista'!$A$7:$R$38,5))</f>
        <v>0</v>
      </c>
      <c r="I63" s="226">
        <f>IF($D63="","",VLOOKUP($D63,'[1]m glavni turnir žrebna lista'!$A$7:$R$38,14))</f>
        <v>0</v>
      </c>
      <c r="J63" s="227"/>
      <c r="K63" s="228"/>
      <c r="L63" s="227"/>
      <c r="M63" s="265"/>
      <c r="N63" s="254"/>
      <c r="O63" s="262"/>
      <c r="P63" s="305" t="s">
        <v>98</v>
      </c>
      <c r="Q63" s="306">
        <f>MIN(J4,R62)</f>
        <v>1</v>
      </c>
      <c r="R63" s="304">
        <f>SUM(LARGE(H72:H79,{1}),LARGE(H72:H79,{2}),LARGE(H72:H79,{3}),LARGE(H72:H79,{4}))</f>
        <v>0</v>
      </c>
      <c r="S63" s="300"/>
      <c r="U63" s="180">
        <f>IF($D63="","",VLOOKUP($D63,'[1]m glavni turnir žrebna lista'!$A$7:$R$38,2))</f>
        <v>0</v>
      </c>
      <c r="V63" s="285">
        <v>19</v>
      </c>
      <c r="W63" s="285" t="str">
        <f>UPPER(IF($D$43="","",VLOOKUP($D$43,'[1]m glavni turnir žrebna lista'!$A$7:$R$38,3)))</f>
        <v>MANASIJEVIĆ VLADIMIR</v>
      </c>
      <c r="X63" s="285" t="str">
        <f>PROPER(IF($D$43="","",VLOOKUP($D$43,'[1]m glavni turnir žrebna lista'!$A$7:$R$38,4)))</f>
        <v/>
      </c>
      <c r="Y63" s="281" t="str">
        <f>IF(W63="","",IF($U$44&lt;&gt;$U$43,"",IF($J$45="bb",1,IF($J$45="","0",$I$45))))</f>
        <v>0</v>
      </c>
      <c r="Z63" s="281" t="str">
        <f>IF($W$45="","",IF($U$42&lt;&gt;$U$43,"",IF($L$43="bb",1,IF($L$43="","0",$K$40))))</f>
        <v/>
      </c>
      <c r="AA63" s="281" t="str">
        <f>IF($W$45="","",IF($U$46&lt;&gt;$U$43,"",IF($N$47="bb",1,IF($N$47="","0",$M$50))))</f>
        <v/>
      </c>
      <c r="AB63" s="281" t="str">
        <f>IF($W$45="","",IF($U$54&lt;&gt;$U$43,"",IF($P$55="bb",1,IF($P$55="","0",$O$62))))</f>
        <v/>
      </c>
      <c r="AC63" s="281" t="str">
        <f>IF($W$45="","",IF($U$38&lt;&gt;$U$43,"",IF($P$39="bb",1,IF($P$39="","0",$Q$22))))</f>
        <v/>
      </c>
      <c r="AD63" s="281"/>
      <c r="AE63" s="292">
        <f t="shared" si="3"/>
        <v>0</v>
      </c>
      <c r="AF63" s="283">
        <f>IF($C43="","",'m glavni - do 35 let'!$C$43)</f>
        <v>0</v>
      </c>
      <c r="AG63" s="285" t="str">
        <f>UPPER(IF($D$43="","",VLOOKUP($D$43,'[1]m glavni turnir žrebna lista'!$A$7:$R$38,3)))</f>
        <v>MANASIJEVIĆ VLADIMIR</v>
      </c>
      <c r="AH63" s="285" t="str">
        <f>PROPER(IF($D$43="","",VLOOKUP($D$43,'[1]m glavni turnir žrebna lista'!$A$7:$R$38,4)))</f>
        <v/>
      </c>
      <c r="AI63" s="285" t="str">
        <f>UPPER(IF($D$43="","",VLOOKUP($D$43,'[1]m glavni turnir žrebna lista'!$A$7:$R$38,5)))</f>
        <v/>
      </c>
      <c r="AJ63" s="292">
        <f t="shared" si="4"/>
        <v>60</v>
      </c>
    </row>
    <row r="64" spans="1:36" s="234" customFormat="1" ht="9.6" customHeight="1">
      <c r="A64" s="239"/>
      <c r="B64" s="240"/>
      <c r="C64" s="240"/>
      <c r="D64" s="256"/>
      <c r="E64" s="241"/>
      <c r="F64" s="241"/>
      <c r="G64" s="242"/>
      <c r="H64" s="243" t="s">
        <v>87</v>
      </c>
      <c r="I64" s="244" t="s">
        <v>88</v>
      </c>
      <c r="J64" s="259" t="str">
        <f>UPPER(IF(OR(I64="a",I64="as"),E63,IF(OR(I64="b",I64="bs"),E65,)))</f>
        <v>BREULJ ROK</v>
      </c>
      <c r="K64" s="246">
        <f>IF(OR(I64="a",I64="as"),I63,IF(OR(I64="b",I64="bs"),I65,))</f>
        <v>0</v>
      </c>
      <c r="L64" s="227"/>
      <c r="M64" s="265"/>
      <c r="N64" s="261"/>
      <c r="O64" s="262"/>
      <c r="P64" s="307" t="s">
        <v>99</v>
      </c>
      <c r="Q64" s="308">
        <f>IF($C$2="B turnir",16,IF($Q$63=1,480,IF($Q$63=2,240,IF($Q$63=3,160,""))))</f>
        <v>480</v>
      </c>
      <c r="R64" s="233"/>
      <c r="S64" s="300"/>
      <c r="U64" s="180">
        <f>IF(OR(I64="a",I64="as"),C63,IF(OR(I64="b",I64="bs"),C65,""))</f>
        <v>0</v>
      </c>
      <c r="V64" s="285">
        <v>20</v>
      </c>
      <c r="W64" s="285" t="str">
        <f>UPPER(IF($D$45="","",VLOOKUP($D$45,'[1]m glavni turnir žrebna lista'!$A$7:$R$38,3)))</f>
        <v/>
      </c>
      <c r="X64" s="285" t="str">
        <f>PROPER(IF($D$45="","",VLOOKUP($D$45,'[1]m glavni turnir žrebna lista'!$A$7:$R$38,4)))</f>
        <v/>
      </c>
      <c r="Y64" s="281" t="str">
        <f>IF(W64="","",IF($U$44&lt;&gt;$U$45,"",IF($J$45="bb",1,IF($J$45="","0",$I$43))))</f>
        <v/>
      </c>
      <c r="Z64" s="281" t="str">
        <f>IF($W$45="","",IF($U$42&lt;&gt;$U$45,"",IF($L$43="bb",1,IF($L$43="","0",$K$40))))</f>
        <v>0</v>
      </c>
      <c r="AA64" s="281" t="str">
        <f>IF($W$45="","",IF($U$46&lt;&gt;$U$45,"",IF($N$47="bb",1,IF($N$47="","0",$M$50))))</f>
        <v>0</v>
      </c>
      <c r="AB64" s="281" t="str">
        <f>IF($W$45="","",IF($U$54&lt;&gt;$U$45,"",IF($P$55="bb",1,IF($P$55="","0",$O$62))))</f>
        <v>0</v>
      </c>
      <c r="AC64" s="281" t="str">
        <f>IF($W$45="","",IF($U$38&lt;&gt;$U$45,"",IF($P$39="bb",1,IF($P$39="","0",$Q$22))))</f>
        <v>0</v>
      </c>
      <c r="AD64" s="281"/>
      <c r="AE64" s="292">
        <f t="shared" si="3"/>
        <v>0</v>
      </c>
      <c r="AF64" s="283" t="str">
        <f>IF($C45="","",'m glavni - do 35 let'!$C$45)</f>
        <v/>
      </c>
      <c r="AG64" s="285" t="str">
        <f>UPPER(IF($D$45="","",VLOOKUP($D$45,'[1]m glavni turnir žrebna lista'!$A$7:$R$38,3)))</f>
        <v/>
      </c>
      <c r="AH64" s="285" t="str">
        <f>PROPER(IF($D$45="","",VLOOKUP($D$45,'[1]m glavni turnir žrebna lista'!$A$7:$R$38,4)))</f>
        <v/>
      </c>
      <c r="AI64" s="285" t="str">
        <f>UPPER(IF($D$45="","",VLOOKUP($D$45,'[1]m glavni turnir žrebna lista'!$A$7:$R$38,5)))</f>
        <v/>
      </c>
      <c r="AJ64" s="292">
        <f t="shared" si="4"/>
        <v>0</v>
      </c>
    </row>
    <row r="65" spans="1:36" s="234" customFormat="1" ht="9.6" customHeight="1">
      <c r="A65" s="239">
        <v>30</v>
      </c>
      <c r="B65" s="251" t="str">
        <f>IF($D65="","",VLOOKUP($D65,'[1]m glavni turnir žrebna lista'!$A$7:$R$38,17))</f>
        <v/>
      </c>
      <c r="C65" s="251" t="str">
        <f>IF($D65="","",VLOOKUP($D65,'[1]m glavni turnir žrebna lista'!$A$7:$R$38,2))</f>
        <v/>
      </c>
      <c r="D65" s="225"/>
      <c r="E65" s="252" t="s">
        <v>3</v>
      </c>
      <c r="F65" s="252" t="str">
        <f>PROPER(IF($D65="","",VLOOKUP($D65,'[1]m glavni turnir žrebna lista'!$A$7:$R$38,4)))</f>
        <v/>
      </c>
      <c r="G65" s="252"/>
      <c r="H65" s="252" t="str">
        <f>IF($D65="","",VLOOKUP($D65,'[1]m glavni turnir žrebna lista'!$A$7:$R$38,5))</f>
        <v/>
      </c>
      <c r="I65" s="253" t="str">
        <f>IF($D65="","",VLOOKUP($D65,'[1]m glavni turnir žrebna lista'!$A$7:$R$38,14))</f>
        <v/>
      </c>
      <c r="J65" s="254"/>
      <c r="K65" s="255"/>
      <c r="L65" s="227"/>
      <c r="M65" s="265"/>
      <c r="N65" s="261"/>
      <c r="O65" s="262"/>
      <c r="P65" s="309" t="s">
        <v>100</v>
      </c>
      <c r="Q65" s="310">
        <f>IF($C$2="B turnir",12,IF($Q$63=1,360,IF($Q$63=2,180,IF($Q$63=3,120,""))))</f>
        <v>360</v>
      </c>
      <c r="R65" s="233"/>
      <c r="S65" s="300"/>
      <c r="U65" s="180" t="str">
        <f>IF($D65="","",VLOOKUP($D65,'[1]m glavni turnir žrebna lista'!$A$7:$R$38,2))</f>
        <v/>
      </c>
      <c r="V65" s="285">
        <v>21</v>
      </c>
      <c r="W65" s="285" t="str">
        <f>UPPER(IF($D$47="","",VLOOKUP($D$47,'[1]m glavni turnir žrebna lista'!$A$7:$R$38,3)))</f>
        <v>LAP JAN</v>
      </c>
      <c r="X65" s="285" t="str">
        <f>PROPER(IF($D$47="","",VLOOKUP($D$47,'[1]m glavni turnir žrebna lista'!$A$7:$R$38,4)))</f>
        <v/>
      </c>
      <c r="Y65" s="281" t="str">
        <f>IF(W65="","",IF($U$48&lt;&gt;$U$47,"",IF($J$49="bb",1,IF($J$49="","0",$I$49))))</f>
        <v>0</v>
      </c>
      <c r="Z65" s="281" t="str">
        <f>IF($W$45="","",IF($U$50&lt;&gt;$U$47,"",IF($L$51="bb",1,IF($L$51="","0",$K$52))))</f>
        <v/>
      </c>
      <c r="AA65" s="281" t="str">
        <f>IF($W$45="","",IF($U$46&lt;&gt;$U$47,"",IF($N$47="bb",1,IF($N$47="","0",$M$42))))</f>
        <v/>
      </c>
      <c r="AB65" s="281" t="str">
        <f>IF($W$45="","",IF($U$54&lt;&gt;$U$47,"",IF($P$55="bb",1,IF($P$55="","0",$O$62))))</f>
        <v/>
      </c>
      <c r="AC65" s="281" t="str">
        <f>IF($W$45="","",IF($U$38&lt;&gt;$U$47,"",IF($P$39="bb",1,IF($P$39="","0",$Q$22))))</f>
        <v/>
      </c>
      <c r="AD65" s="281"/>
      <c r="AE65" s="292">
        <f t="shared" si="3"/>
        <v>0</v>
      </c>
      <c r="AF65" s="283">
        <f>IF($C47="","",'m glavni - do 35 let'!$C$47)</f>
        <v>0</v>
      </c>
      <c r="AG65" s="285" t="str">
        <f>UPPER(IF($D$47="","",VLOOKUP($D$47,'[1]m glavni turnir žrebna lista'!$A$7:$R$38,3)))</f>
        <v>LAP JAN</v>
      </c>
      <c r="AH65" s="285" t="str">
        <f>PROPER(IF($D$47="","",VLOOKUP($D$47,'[1]m glavni turnir žrebna lista'!$A$7:$R$38,4)))</f>
        <v/>
      </c>
      <c r="AI65" s="285" t="str">
        <f>UPPER(IF($D$47="","",VLOOKUP($D$47,'[1]m glavni turnir žrebna lista'!$A$7:$R$38,5)))</f>
        <v/>
      </c>
      <c r="AJ65" s="292">
        <f t="shared" si="4"/>
        <v>60</v>
      </c>
    </row>
    <row r="66" spans="1:36" s="234" customFormat="1" ht="9.6" customHeight="1">
      <c r="A66" s="239"/>
      <c r="B66" s="240"/>
      <c r="C66" s="240"/>
      <c r="D66" s="256"/>
      <c r="E66" s="241"/>
      <c r="F66" s="241"/>
      <c r="G66" s="242"/>
      <c r="H66" s="227"/>
      <c r="I66" s="257"/>
      <c r="J66" s="243" t="s">
        <v>87</v>
      </c>
      <c r="K66" s="258"/>
      <c r="L66" s="259" t="str">
        <f>UPPER(IF(OR(K66="a",K66="as"),J64,IF(OR(K66="b",K66="bs"),J68,)))</f>
        <v/>
      </c>
      <c r="M66" s="271">
        <f>IF(OR(K66="a",K66="as"),K64,IF(OR(K66="b",K66="bs"),K68,))</f>
        <v>0</v>
      </c>
      <c r="N66" s="261"/>
      <c r="O66" s="262"/>
      <c r="P66" s="309" t="s">
        <v>101</v>
      </c>
      <c r="Q66" s="310">
        <f>IF($C$2="B turnir",8,IF($Q$63=1,240,IF($Q$63=2,120,IF($Q$63=3,80,""))))</f>
        <v>240</v>
      </c>
      <c r="R66" s="233"/>
      <c r="S66" s="300"/>
      <c r="U66" s="180" t="str">
        <f>IF(OR(K66="a",K66="as"),U64,IF(OR(K66="b",K66="bs"),U68,""))</f>
        <v/>
      </c>
      <c r="V66" s="285">
        <v>22</v>
      </c>
      <c r="W66" s="285" t="str">
        <f>UPPER(IF($D$49="","",VLOOKUP($D$49,'[1]m glavni turnir žrebna lista'!$A$7:$R$38,3)))</f>
        <v/>
      </c>
      <c r="X66" s="285" t="str">
        <f>PROPER(IF($D$49="","",VLOOKUP($D$49,'[1]m glavni turnir žrebna lista'!$A$7:$R$38,4)))</f>
        <v/>
      </c>
      <c r="Y66" s="281" t="str">
        <f>IF(W66="","",IF($U$48&lt;&gt;$U$49,"",IF($J$49="bb",1,IF($J$49="","0",$I$47))))</f>
        <v/>
      </c>
      <c r="Z66" s="281" t="str">
        <f>IF($W$45="","",IF($U$50&lt;&gt;$U$49,"",IF($L$51="bb",1,IF($L$51="","0",$K$52))))</f>
        <v>0</v>
      </c>
      <c r="AA66" s="281" t="str">
        <f>IF($W$45="","",IF($U$46&lt;&gt;$U$49,"",IF($N$47="bb",1,IF($N$47="","0",$M$42))))</f>
        <v>0</v>
      </c>
      <c r="AB66" s="281" t="str">
        <f>IF($W$45="","",IF($U$54&lt;&gt;$U$49,"",IF($P$55="bb",1,IF($P$55="","0",$O$62))))</f>
        <v>0</v>
      </c>
      <c r="AC66" s="281" t="str">
        <f>IF($W$45="","",IF($U$38&lt;&gt;$U$49,"",IF($P$39="bb",1,IF($P$39="","0",$Q$22))))</f>
        <v>0</v>
      </c>
      <c r="AD66" s="281"/>
      <c r="AE66" s="292">
        <f t="shared" si="3"/>
        <v>0</v>
      </c>
      <c r="AF66" s="283" t="str">
        <f>IF($C49="","",'m glavni - do 35 let'!$C$49)</f>
        <v/>
      </c>
      <c r="AG66" s="285" t="str">
        <f>UPPER(IF($D$49="","",VLOOKUP($D$49,'[1]m glavni turnir žrebna lista'!$A$7:$R$38,3)))</f>
        <v/>
      </c>
      <c r="AH66" s="285" t="str">
        <f>PROPER(IF($D$49="","",VLOOKUP($D$49,'[1]m glavni turnir žrebna lista'!$A$7:$R$38,4)))</f>
        <v/>
      </c>
      <c r="AI66" s="285" t="str">
        <f>UPPER(IF($D$49="","",VLOOKUP($D49,'[1]m glavni turnir žrebna lista'!$A$7:$R$38,5)))</f>
        <v/>
      </c>
      <c r="AJ66" s="292">
        <f t="shared" si="4"/>
        <v>0</v>
      </c>
    </row>
    <row r="67" spans="1:36" s="234" customFormat="1" ht="9.6" customHeight="1">
      <c r="A67" s="239">
        <v>31</v>
      </c>
      <c r="B67" s="251" t="str">
        <f>IF($D67="","",VLOOKUP($D67,'[1]m glavni turnir žrebna lista'!$A$7:$R$38,17))</f>
        <v/>
      </c>
      <c r="C67" s="251" t="str">
        <f>IF($D67="","",VLOOKUP($D67,'[1]m glavni turnir žrebna lista'!$A$7:$R$38,2))</f>
        <v/>
      </c>
      <c r="D67" s="225"/>
      <c r="E67" s="252" t="str">
        <f>UPPER(IF($D67="","",VLOOKUP($D67,'[1]m glavni turnir žrebna lista'!$A$7:$R$38,3)))</f>
        <v/>
      </c>
      <c r="F67" s="252" t="str">
        <f>PROPER(IF($D67="","",VLOOKUP($D67,'[1]m glavni turnir žrebna lista'!$A$7:$R$38,4)))</f>
        <v/>
      </c>
      <c r="G67" s="252"/>
      <c r="H67" s="252" t="str">
        <f>IF($D67="","",VLOOKUP($D67,'[1]m glavni turnir žrebna lista'!$A$7:$R$38,5))</f>
        <v/>
      </c>
      <c r="I67" s="226" t="str">
        <f>IF($D67="","",VLOOKUP($D67,'[1]m glavni turnir žrebna lista'!$A$7:$R$38,14))</f>
        <v/>
      </c>
      <c r="J67" s="227"/>
      <c r="K67" s="264"/>
      <c r="L67" s="254"/>
      <c r="M67" s="262"/>
      <c r="N67" s="261"/>
      <c r="O67" s="262"/>
      <c r="P67" s="309" t="s">
        <v>102</v>
      </c>
      <c r="Q67" s="310">
        <f>IF($C$2="B turnir",4,IF($Q$63=1,120,IF($Q$63=2,60,IF($Q$63=3,40,""))))</f>
        <v>120</v>
      </c>
      <c r="R67" s="233"/>
      <c r="S67" s="300"/>
      <c r="U67" s="180" t="str">
        <f>IF($D67="","",VLOOKUP($D67,'[1]m glavni turnir žrebna lista'!$A$7:$R$38,2))</f>
        <v/>
      </c>
      <c r="V67" s="285">
        <v>23</v>
      </c>
      <c r="W67" s="285" t="str">
        <f>UPPER(IF($D$51="","",VLOOKUP($D$51,'[1]m glavni turnir žrebna lista'!$A$7:$R$38,3)))</f>
        <v/>
      </c>
      <c r="X67" s="285" t="str">
        <f>PROPER(IF($D$51="","",VLOOKUP($D$51,'[1]m glavni turnir žrebna lista'!$A$7:$R$38,4)))</f>
        <v/>
      </c>
      <c r="Y67" s="281" t="str">
        <f>IF(W67="","",IF($U$52&lt;&gt;$U$51,"",IF($J$53="bb",1,IF($J$53="","0",$I$53))))</f>
        <v/>
      </c>
      <c r="Z67" s="281" t="str">
        <f>IF($W$45="","",IF($U$50&lt;&gt;$U$51,"",IF($L$51="bb",1,IF($L$51="","0",$K$48))))</f>
        <v>0</v>
      </c>
      <c r="AA67" s="281" t="str">
        <f>IF($W$45="","",IF($U$46&lt;&gt;$U$51,"",IF($N$47="bb",1,IF($N$47="","0",$M$42))))</f>
        <v>0</v>
      </c>
      <c r="AB67" s="281" t="str">
        <f>IF($W$45="","",IF($U$54&lt;&gt;$U$51,"",IF($P$55="bb",1,IF($P$55="","0",$O$62))))</f>
        <v>0</v>
      </c>
      <c r="AC67" s="281" t="str">
        <f>IF($W$45="","",IF($U$38&lt;&gt;$U$51,"",IF($P$39="bb",1,IF($P$39="","0",$Q$22))))</f>
        <v>0</v>
      </c>
      <c r="AD67" s="281"/>
      <c r="AE67" s="292">
        <f t="shared" si="3"/>
        <v>0</v>
      </c>
      <c r="AF67" s="283" t="str">
        <f>IF($C51="","",'m glavni - do 35 let'!$C$51)</f>
        <v/>
      </c>
      <c r="AG67" s="285" t="str">
        <f>UPPER(IF($D$51="","",VLOOKUP($D$51,'[1]m glavni turnir žrebna lista'!$A$7:$R$38,3)))</f>
        <v/>
      </c>
      <c r="AH67" s="285" t="str">
        <f>PROPER(IF($D$51="","",VLOOKUP($D$51,'[1]m glavni turnir žrebna lista'!$A$7:$R$38,4)))</f>
        <v/>
      </c>
      <c r="AI67" s="285" t="str">
        <f>UPPER(IF($D$51="","",VLOOKUP($D$51,'[1]m glavni turnir žrebna lista'!$A$7:$R$38,5)))</f>
        <v/>
      </c>
      <c r="AJ67" s="292">
        <f t="shared" si="4"/>
        <v>0</v>
      </c>
    </row>
    <row r="68" spans="1:36" s="234" customFormat="1" ht="9.6" customHeight="1">
      <c r="A68" s="239"/>
      <c r="B68" s="240"/>
      <c r="C68" s="240"/>
      <c r="D68" s="240"/>
      <c r="E68" s="241"/>
      <c r="F68" s="241"/>
      <c r="G68" s="242"/>
      <c r="H68" s="243" t="s">
        <v>87</v>
      </c>
      <c r="I68" s="244"/>
      <c r="J68" s="245" t="s">
        <v>103</v>
      </c>
      <c r="K68" s="266">
        <f>IF(OR(I68="a",I68="as"),I67,IF(OR(I68="b",I68="bs"),I69,))</f>
        <v>0</v>
      </c>
      <c r="L68" s="227"/>
      <c r="M68" s="262"/>
      <c r="N68" s="261"/>
      <c r="O68" s="262"/>
      <c r="P68" s="309" t="s">
        <v>104</v>
      </c>
      <c r="Q68" s="310">
        <f>IF($C$2="B turnir",2,IF($Q$63=1,60,IF($Q$63=2,30,IF($Q$63=3,20,""))))</f>
        <v>60</v>
      </c>
      <c r="R68" s="233"/>
      <c r="S68" s="300"/>
      <c r="U68" s="180" t="str">
        <f>IF(OR(I68="a",I68="as"),C67,IF(OR(I68="b",I68="bs"),C69,""))</f>
        <v/>
      </c>
      <c r="V68" s="285">
        <v>24</v>
      </c>
      <c r="W68" s="285" t="str">
        <f>UPPER(IF($D$53="","",VLOOKUP($D$53,'[1]m glavni turnir žrebna lista'!$A$7:$R$38,3)))</f>
        <v>PEVC PETER</v>
      </c>
      <c r="X68" s="285" t="str">
        <f>PROPER(IF($D$53="","",VLOOKUP($D$53,'[1]m glavni turnir žrebna lista'!$A$7:$R$38,4)))</f>
        <v>4</v>
      </c>
      <c r="Y68" s="281" t="str">
        <f>IF(W68="","",IF($U$52&lt;&gt;$U$53,"",IF($J$53="bb",1,IF($J$53="","0",$I$51))))</f>
        <v/>
      </c>
      <c r="Z68" s="281" t="str">
        <f>IF($W$45="","",IF($U$50&lt;&gt;$U$53,"",IF($L$51="bb",1,IF($L$51="","0",$K$48))))</f>
        <v/>
      </c>
      <c r="AA68" s="281" t="str">
        <f>IF($W$45="","",IF($U$46&lt;&gt;$U$53,"",IF($N$47="bb",1,IF($N$47="","0",$M$42))))</f>
        <v/>
      </c>
      <c r="AB68" s="281" t="str">
        <f>IF($W$45="","",IF($U$54&lt;&gt;$U$53,"",IF($P$55="bb",1,IF($P$55="","0",$O$62))))</f>
        <v/>
      </c>
      <c r="AC68" s="281" t="str">
        <f>IF($W$45="","",IF($U$38&lt;&gt;$U$53,"",IF($P$39="bb",1,IF($P$39="","0",$Q$22))))</f>
        <v/>
      </c>
      <c r="AD68" s="281"/>
      <c r="AE68" s="292">
        <f t="shared" si="3"/>
        <v>0</v>
      </c>
      <c r="AF68" s="283">
        <f>IF($C53="","",'m glavni - do 35 let'!$C$53)</f>
        <v>0</v>
      </c>
      <c r="AG68" s="285" t="str">
        <f>UPPER(IF($D$53="","",VLOOKUP($D$53,'[1]m glavni turnir žrebna lista'!$A$7:$R$38,3)))</f>
        <v>PEVC PETER</v>
      </c>
      <c r="AH68" s="285" t="str">
        <f>PROPER(IF($D$53="","",VLOOKUP($D$53,'[1]m glavni turnir žrebna lista'!$A$7:$R$38,4)))</f>
        <v>4</v>
      </c>
      <c r="AI68" s="285" t="str">
        <f>UPPER(IF($D$53="","",VLOOKUP($D$53,'[1]m glavni turnir žrebna lista'!$A$7:$R$38,5)))</f>
        <v/>
      </c>
      <c r="AJ68" s="292">
        <f t="shared" si="4"/>
        <v>30</v>
      </c>
    </row>
    <row r="69" spans="1:36" s="234" customFormat="1" ht="9.6" customHeight="1">
      <c r="A69" s="223">
        <v>32</v>
      </c>
      <c r="B69" s="224">
        <f>IF($D69="","",VLOOKUP($D69,'[1]m glavni turnir žrebna lista'!$A$7:$R$38,17))</f>
        <v>0</v>
      </c>
      <c r="C69" s="224">
        <f>IF($D69="","",VLOOKUP($D69,'[1]m glavni turnir žrebna lista'!$A$7:$R$38,2))</f>
        <v>0</v>
      </c>
      <c r="D69" s="225">
        <v>2</v>
      </c>
      <c r="E69" s="224" t="str">
        <f>UPPER(IF($D69="","",VLOOKUP($D69,'[1]m glavni turnir žrebna lista'!$A$7:$R$38,3)))</f>
        <v>BATOR FILIP</v>
      </c>
      <c r="F69" s="224" t="str">
        <f>PROPER(IF($D69="","",VLOOKUP($D69,'[1]m glavni turnir žrebna lista'!$A$7:$R$38,4)))</f>
        <v>2</v>
      </c>
      <c r="G69" s="224"/>
      <c r="H69" s="224">
        <f>IF($D69="","",VLOOKUP($D69,'[1]m glavni turnir žrebna lista'!$A$7:$R$38,5))</f>
        <v>0</v>
      </c>
      <c r="I69" s="253" t="s">
        <v>89</v>
      </c>
      <c r="J69" s="254"/>
      <c r="K69" s="228"/>
      <c r="L69" s="227"/>
      <c r="M69" s="228"/>
      <c r="N69" s="229"/>
      <c r="O69" s="230"/>
      <c r="P69" s="309" t="s">
        <v>105</v>
      </c>
      <c r="Q69" s="310">
        <f>IF($C$2="B turnir",1,IF($Q$63=1,30,IF($Q$63=2,15,IF($Q$63=3,10,""))))</f>
        <v>30</v>
      </c>
      <c r="R69" s="233"/>
      <c r="U69" s="180">
        <f>IF($D69="","",VLOOKUP($D69,'[1]m glavni turnir žrebna lista'!$A$7:$R$38,2))</f>
        <v>0</v>
      </c>
      <c r="V69" s="285">
        <v>25</v>
      </c>
      <c r="W69" s="285" t="str">
        <f>UPPER(IF($D$55="","",VLOOKUP($D$55,'[1]m glavni turnir žrebna lista'!$A$7:$R$38,3)))</f>
        <v>ZALAR TILEN</v>
      </c>
      <c r="X69" s="285" t="str">
        <f>PROPER(IF($D$55="","",VLOOKUP($D$55,'[1]m glavni turnir žrebna lista'!$A$7:$R$38,4)))</f>
        <v/>
      </c>
      <c r="Y69" s="281" t="str">
        <f>IF(W69="","",IF($U$56&lt;&gt;$U$55,"",IF($J$57="bb",1,IF($J$57="","0",$I$57))))</f>
        <v>0</v>
      </c>
      <c r="Z69" s="281" t="str">
        <f>IF($W$45="","",IF($U$58&lt;&gt;$U$55,"",IF($L$59="bb",1,IF($L$59="","0",$K$60))))</f>
        <v/>
      </c>
      <c r="AA69" s="281" t="str">
        <f>IF($W$45="","",IF($U$62&lt;&gt;$U$55,"",IF($N$63="bb",1,IF($N$63="","0",$M$66))))</f>
        <v/>
      </c>
      <c r="AB69" s="281" t="str">
        <f>IF($W$45="","",IF($U$54&lt;&gt;$U$55,"",IF($P$55="bb",1,IF($P$55="","0",$O$46))))</f>
        <v/>
      </c>
      <c r="AC69" s="281" t="str">
        <f>IF($W$45="","",IF($U$38&lt;&gt;$U$55,"",IF($P$39="bb",1,IF($P$39="","0",$Q$22))))</f>
        <v/>
      </c>
      <c r="AD69" s="281"/>
      <c r="AE69" s="292">
        <f t="shared" si="3"/>
        <v>0</v>
      </c>
      <c r="AF69" s="283">
        <f>IF($C55="","",'m glavni - do 35 let'!$C$55)</f>
        <v>0</v>
      </c>
      <c r="AG69" s="285" t="str">
        <f>UPPER(IF($D$55="","",VLOOKUP($D$55,'[1]m glavni turnir žrebna lista'!$A$7:$R$38,3)))</f>
        <v>ZALAR TILEN</v>
      </c>
      <c r="AH69" s="285" t="str">
        <f>PROPER(IF($D$55="","",VLOOKUP($D$55,'[1]m glavni turnir žrebna lista'!$A$7:$R$38,4)))</f>
        <v/>
      </c>
      <c r="AI69" s="285" t="str">
        <f>UPPER(IF($D$55="","",VLOOKUP($D$55,'[1]m glavni turnir žrebna lista'!$A$7:$R$38,5)))</f>
        <v/>
      </c>
      <c r="AJ69" s="292">
        <f t="shared" si="4"/>
        <v>60</v>
      </c>
    </row>
    <row r="70" spans="1:36" s="317" customFormat="1" ht="9" customHeight="1">
      <c r="A70" s="311"/>
      <c r="B70" s="311"/>
      <c r="C70" s="311"/>
      <c r="D70" s="311"/>
      <c r="E70" s="312"/>
      <c r="F70" s="312"/>
      <c r="G70" s="312"/>
      <c r="H70" s="312"/>
      <c r="I70" s="313"/>
      <c r="J70" s="314"/>
      <c r="K70" s="315"/>
      <c r="L70" s="314"/>
      <c r="M70" s="315"/>
      <c r="N70" s="314"/>
      <c r="O70" s="315"/>
      <c r="P70" s="314"/>
      <c r="Q70" s="315"/>
      <c r="R70" s="316"/>
      <c r="U70" s="180"/>
      <c r="V70" s="285">
        <v>26</v>
      </c>
      <c r="W70" s="285" t="str">
        <f>UPPER(IF($D$57="","",VLOOKUP($D$57,'[1]m glavni turnir žrebna lista'!$A$7:$R$38,3)))</f>
        <v/>
      </c>
      <c r="X70" s="285" t="str">
        <f>PROPER(IF($D$57="","",VLOOKUP($D$57,'[1]m glavni turnir žrebna lista'!$A$7:$R$38,4)))</f>
        <v/>
      </c>
      <c r="Y70" s="281" t="str">
        <f>IF(W70="","",IF($U$56&lt;&gt;$U$57,"",IF($J$57="bb",1,IF($J$57="","0",$I$55))))</f>
        <v/>
      </c>
      <c r="Z70" s="281" t="str">
        <f>IF($W$45="","",IF($U$58&lt;&gt;$U$57,"",IF($L$59="bb",1,IF($L$59="","0",$K$60))))</f>
        <v>0</v>
      </c>
      <c r="AA70" s="281" t="str">
        <f>IF($W$45="","",IF($U$62&lt;&gt;$U$57,"",IF($N$63="bb",1,IF($N$63="","0",$M$66))))</f>
        <v>0</v>
      </c>
      <c r="AB70" s="281" t="str">
        <f>IF($W$45="","",IF($U$54&lt;&gt;$U$57,"",IF($P$55="bb",1,IF($P$55="","0",$O$46))))</f>
        <v>0</v>
      </c>
      <c r="AC70" s="281" t="str">
        <f>IF($W$45="","",IF($U$38&lt;&gt;$U$57,"",IF($P$39="bb",1,IF($P$39="","0",$Q$22))))</f>
        <v>0</v>
      </c>
      <c r="AD70" s="281"/>
      <c r="AE70" s="292">
        <f t="shared" si="3"/>
        <v>0</v>
      </c>
      <c r="AF70" s="283" t="str">
        <f>IF($C57="","",'m glavni - do 35 let'!$C$57)</f>
        <v/>
      </c>
      <c r="AG70" s="285" t="str">
        <f>UPPER(IF($D$57="","",VLOOKUP($D$57,'[1]m glavni turnir žrebna lista'!$A$7:$R$38,3)))</f>
        <v/>
      </c>
      <c r="AH70" s="285" t="str">
        <f>PROPER(IF($D$57="","",VLOOKUP($D$57,'[1]m glavni turnir žrebna lista'!$A$7:$R$38,4)))</f>
        <v/>
      </c>
      <c r="AI70" s="285" t="str">
        <f>UPPER(IF($D$57="","",VLOOKUP($D$57,'[1]m glavni turnir žrebna lista'!$A$7:$R$38,5)))</f>
        <v/>
      </c>
      <c r="AJ70" s="292">
        <f t="shared" si="4"/>
        <v>0</v>
      </c>
    </row>
    <row r="71" spans="1:36" s="330" customFormat="1" ht="9" customHeight="1">
      <c r="A71" s="318" t="s">
        <v>106</v>
      </c>
      <c r="B71" s="319"/>
      <c r="C71" s="320"/>
      <c r="D71" s="321" t="s">
        <v>107</v>
      </c>
      <c r="E71" s="322" t="s">
        <v>108</v>
      </c>
      <c r="F71" s="321"/>
      <c r="G71" s="321" t="s">
        <v>109</v>
      </c>
      <c r="H71" s="323" t="s">
        <v>110</v>
      </c>
      <c r="I71" s="324" t="s">
        <v>107</v>
      </c>
      <c r="J71" s="322" t="s">
        <v>111</v>
      </c>
      <c r="K71" s="325"/>
      <c r="L71" s="326" t="s">
        <v>112</v>
      </c>
      <c r="M71" s="327"/>
      <c r="N71" s="328" t="s">
        <v>113</v>
      </c>
      <c r="O71" s="329"/>
      <c r="P71" s="529"/>
      <c r="Q71" s="530"/>
      <c r="U71" s="180"/>
      <c r="V71" s="285">
        <v>27</v>
      </c>
      <c r="W71" s="285" t="str">
        <f>UPPER(IF($D$59="","",VLOOKUP($D$59,'[1]m glavni turnir žrebna lista'!$A$7:$R$38,3)))</f>
        <v>BIŠČAK URBAN</v>
      </c>
      <c r="X71" s="285" t="str">
        <f>PROPER(IF($D$59="","",VLOOKUP($D$59,'[1]m glavni turnir žrebna lista'!$A$7:$R$38,4)))</f>
        <v/>
      </c>
      <c r="Y71" s="281" t="str">
        <f>IF(W71="","",IF($U$60&lt;&gt;$U$59,"",IF($J$61="bb",1,IF($J$61="","0",$I$61))))</f>
        <v>0</v>
      </c>
      <c r="Z71" s="281" t="str">
        <f>IF($W$45="","",IF($U$58&lt;&gt;$U$59,"",IF($L$59="bb",1,IF($L$59="","0",$K$56))))</f>
        <v/>
      </c>
      <c r="AA71" s="281" t="str">
        <f>IF($W$45="","",IF($U$62&lt;&gt;$U$59,"",IF($N$63="bb",1,IF($N$63="","0",$M$66))))</f>
        <v/>
      </c>
      <c r="AB71" s="281" t="str">
        <f>IF($W$45="","",IF($U$54&lt;&gt;$U$59,"",IF($P$55="bb",1,IF($P$55="","0",$O$46))))</f>
        <v/>
      </c>
      <c r="AC71" s="281" t="str">
        <f>IF($W$45="","",IF($U$38&lt;&gt;$U$59,"",IF($P$39="bb",1,IF($P$39="","0",$Q$22))))</f>
        <v/>
      </c>
      <c r="AD71" s="281"/>
      <c r="AE71" s="292">
        <f t="shared" si="3"/>
        <v>0</v>
      </c>
      <c r="AF71" s="283">
        <f>IF($C59="","",'m glavni - do 35 let'!$C$59)</f>
        <v>0</v>
      </c>
      <c r="AG71" s="285" t="str">
        <f>UPPER(IF($D$59="","",VLOOKUP($D$59,'[1]m glavni turnir žrebna lista'!$A$7:$R$38,3)))</f>
        <v>BIŠČAK URBAN</v>
      </c>
      <c r="AH71" s="285" t="str">
        <f>PROPER(IF($D$59="","",VLOOKUP($D$59,'[1]m glavni turnir žrebna lista'!$A$7:$R$38,4)))</f>
        <v/>
      </c>
      <c r="AI71" s="285" t="str">
        <f>UPPER(IF($D$59="","",VLOOKUP($D$59,'[1]m glavni turnir žrebna lista'!$A$7:$R$38,5)))</f>
        <v/>
      </c>
      <c r="AJ71" s="292">
        <f t="shared" si="4"/>
        <v>60</v>
      </c>
    </row>
    <row r="72" spans="1:36" s="330" customFormat="1" ht="9" customHeight="1">
      <c r="A72" s="331" t="s">
        <v>65</v>
      </c>
      <c r="B72" s="332"/>
      <c r="C72" s="333"/>
      <c r="D72" s="202">
        <v>1</v>
      </c>
      <c r="E72" s="334" t="str">
        <f>UPPER(IF($D72="","",VLOOKUP($D72,'[1]m glavni turnir žrebna lista'!$A$7:$R$38,3)))</f>
        <v>JARC MATEJ</v>
      </c>
      <c r="F72" s="203"/>
      <c r="G72" s="335">
        <f>IF($D72="","",VLOOKUP($D72,'[1]m glavni turnir žrebna lista'!$A$7:$R$38,10))</f>
        <v>0</v>
      </c>
      <c r="H72" s="335">
        <f>IF($D72="","",VLOOKUP($D72,'[1]m glavni turnir žrebna lista'!$A$7:$R$38,14))</f>
        <v>0</v>
      </c>
      <c r="I72" s="336" t="s">
        <v>114</v>
      </c>
      <c r="J72" s="332"/>
      <c r="K72" s="206"/>
      <c r="L72" s="332"/>
      <c r="M72" s="337"/>
      <c r="N72" s="338" t="s">
        <v>115</v>
      </c>
      <c r="O72" s="339"/>
      <c r="P72" s="340"/>
      <c r="Q72" s="337"/>
      <c r="U72" s="180"/>
      <c r="V72" s="285">
        <v>28</v>
      </c>
      <c r="W72" s="285" t="str">
        <f>UPPER(IF($D$61="","",VLOOKUP($D$61,'[1]m glavni turnir žrebna lista'!$A$7:$R$38,3)))</f>
        <v/>
      </c>
      <c r="X72" s="285" t="str">
        <f>PROPER(IF($D$61="","",VLOOKUP($D$61,'[1]m glavni turnir žrebna lista'!$A$7:$R$38,4)))</f>
        <v/>
      </c>
      <c r="Y72" s="281" t="str">
        <f>IF(W72="","",IF($U$60&lt;&gt;$U$61,"",IF($J$61="bb",1,IF($J$61="","0",$I$59))))</f>
        <v/>
      </c>
      <c r="Z72" s="281" t="str">
        <f>IF($W$45="","",IF($U$58&lt;&gt;$U$61,"",IF($L$59="bb",1,IF($L$59="","0",$K$56))))</f>
        <v>0</v>
      </c>
      <c r="AA72" s="281" t="str">
        <f>IF($W$45="","",IF($U$62&lt;&gt;$U$61,"",IF($N$63="bb",1,IF($N$63="","0",$M$66))))</f>
        <v>0</v>
      </c>
      <c r="AB72" s="281" t="str">
        <f>IF($W$45="","",IF($U$54&lt;&gt;$U$61,"",IF($P$55="bb",1,IF($P$55="","0",$O$46))))</f>
        <v>0</v>
      </c>
      <c r="AC72" s="281" t="str">
        <f>IF($W$45="","",IF($U$38&lt;&gt;$U$61,"",IF($P$39="bb",1,IF($P$39="","0",$Q$22))))</f>
        <v>0</v>
      </c>
      <c r="AD72" s="281"/>
      <c r="AE72" s="292">
        <f t="shared" si="3"/>
        <v>0</v>
      </c>
      <c r="AF72" s="283" t="str">
        <f>IF($C61="","",'m glavni - do 35 let'!$C$61)</f>
        <v/>
      </c>
      <c r="AG72" s="285" t="str">
        <f>UPPER(IF($D$61="","",VLOOKUP($D$61,'[1]m glavni turnir žrebna lista'!$A$7:$R$38,3)))</f>
        <v/>
      </c>
      <c r="AH72" s="285" t="str">
        <f>PROPER(IF($D$61="","",VLOOKUP($D$61,'[1]m glavni turnir žrebna lista'!$A$7:$R$38,4)))</f>
        <v/>
      </c>
      <c r="AI72" s="285" t="str">
        <f>UPPER(IF($D$61="","",VLOOKUP($D$61,'[1]m glavni turnir žrebna lista'!$A$7:$R$38,5)))</f>
        <v/>
      </c>
      <c r="AJ72" s="292">
        <f t="shared" si="4"/>
        <v>0</v>
      </c>
    </row>
    <row r="73" spans="1:36" s="330" customFormat="1" ht="9" customHeight="1">
      <c r="A73" s="518"/>
      <c r="B73" s="519"/>
      <c r="C73" s="341"/>
      <c r="D73" s="202">
        <v>2</v>
      </c>
      <c r="E73" s="334" t="str">
        <f>UPPER(IF($D73="","",VLOOKUP($D73,'[1]m glavni turnir žrebna lista'!$A$7:$R$38,3)))</f>
        <v>BATOR FILIP</v>
      </c>
      <c r="F73" s="202"/>
      <c r="G73" s="335">
        <f>IF($D73="","",VLOOKUP($D73,'[1]m glavni turnir žrebna lista'!$A$7:$R$38,10))</f>
        <v>0</v>
      </c>
      <c r="H73" s="335">
        <f>IF($D73="","",VLOOKUP($D73,'[1]m glavni turnir žrebna lista'!$A$7:$R$38,14))</f>
        <v>0</v>
      </c>
      <c r="I73" s="342" t="s">
        <v>2</v>
      </c>
      <c r="J73" s="343"/>
      <c r="K73" s="206"/>
      <c r="L73" s="332"/>
      <c r="M73" s="337"/>
      <c r="N73" s="344"/>
      <c r="O73" s="345"/>
      <c r="P73" s="346"/>
      <c r="Q73" s="347"/>
      <c r="U73" s="180"/>
      <c r="V73" s="285">
        <v>29</v>
      </c>
      <c r="W73" s="285" t="str">
        <f>UPPER(IF($D$63="","",VLOOKUP($D$63,'[1]m glavni turnir žrebna lista'!$A$7:$R$38,3)))</f>
        <v>BREULJ ROK</v>
      </c>
      <c r="X73" s="285" t="str">
        <f>PROPER(IF($D$63="","",VLOOKUP($D$63,'[1]m glavni turnir žrebna lista'!$A$7:$R$38,4)))</f>
        <v/>
      </c>
      <c r="Y73" s="281" t="str">
        <f>IF(W73="","",IF($U$64&lt;&gt;$U$63,"",IF($J$65="bb",1,IF($J$65="","0",$I$65))))</f>
        <v>0</v>
      </c>
      <c r="Z73" s="281" t="str">
        <f>IF($W$45="","",IF($U$66&lt;&gt;$U$63,"",IF($L$67="bb",1,IF($L$67="","0",$K$68))))</f>
        <v/>
      </c>
      <c r="AA73" s="281" t="str">
        <f>IF($W$45="","",IF($U$62&lt;&gt;$U$63,"",IF($N$63="bb",1,IF($N$63="","0",$M$58))))</f>
        <v/>
      </c>
      <c r="AB73" s="281" t="str">
        <f>IF($W$45="","",IF($U$54&lt;&gt;$U$63,"",IF($P$55="bb",1,IF($P$55="","0",$O$46))))</f>
        <v/>
      </c>
      <c r="AC73" s="281" t="str">
        <f>IF($W$45="","",IF($U$38&lt;&gt;$U$63,"",IF($P$39="bb",1,IF($P$39="","0",$Q$22))))</f>
        <v/>
      </c>
      <c r="AD73" s="281"/>
      <c r="AE73" s="292">
        <f t="shared" si="3"/>
        <v>0</v>
      </c>
      <c r="AF73" s="283">
        <f>IF($C63="","",'m glavni - do 35 let'!$C$63)</f>
        <v>0</v>
      </c>
      <c r="AG73" s="285" t="str">
        <f>UPPER(IF($D$63="","",VLOOKUP($D$63,'[1]m glavni turnir žrebna lista'!$A$7:$R$38,3)))</f>
        <v>BREULJ ROK</v>
      </c>
      <c r="AH73" s="285" t="str">
        <f>PROPER(IF($D$63="","",VLOOKUP($D$63,'[1]m glavni turnir žrebna lista'!$A$7:$R$38,4)))</f>
        <v/>
      </c>
      <c r="AI73" s="285" t="str">
        <f>UPPER(IF($D$63="","",VLOOKUP($D$63,'[1]m glavni turnir žrebna lista'!$A$7:$R$38,5)))</f>
        <v/>
      </c>
      <c r="AJ73" s="292">
        <f t="shared" si="4"/>
        <v>60</v>
      </c>
    </row>
    <row r="74" spans="1:36" s="330" customFormat="1" ht="9" customHeight="1">
      <c r="A74" s="348"/>
      <c r="B74" s="349"/>
      <c r="C74" s="350"/>
      <c r="D74" s="202">
        <v>3</v>
      </c>
      <c r="E74" s="334" t="str">
        <f>UPPER(IF($D74="","",VLOOKUP($D74,'[1]m glavni turnir žrebna lista'!$A$7:$R$38,3)))</f>
        <v>PEČEČNIK DENIS</v>
      </c>
      <c r="F74" s="202"/>
      <c r="G74" s="335">
        <f>IF($D74="","",VLOOKUP($D74,'[1]m glavni turnir žrebna lista'!$A$7:$R$38,10))</f>
        <v>0</v>
      </c>
      <c r="H74" s="335">
        <f>IF($D74="","",VLOOKUP($D74,'[1]m glavni turnir žrebna lista'!$A$7:$R$38,14))</f>
        <v>0</v>
      </c>
      <c r="I74" s="342" t="s">
        <v>4</v>
      </c>
      <c r="J74" s="343"/>
      <c r="K74" s="206"/>
      <c r="L74" s="332"/>
      <c r="M74" s="337"/>
      <c r="N74" s="338" t="s">
        <v>116</v>
      </c>
      <c r="O74" s="339"/>
      <c r="P74" s="340"/>
      <c r="Q74" s="337"/>
      <c r="U74" s="180"/>
      <c r="V74" s="285">
        <v>30</v>
      </c>
      <c r="W74" s="285" t="str">
        <f>UPPER(IF($D$65="","",VLOOKUP($D$65,'[1]m glavni turnir žrebna lista'!$A$7:$R$38,3)))</f>
        <v/>
      </c>
      <c r="X74" s="285" t="str">
        <f>PROPER(IF($D$65="","",VLOOKUP($D$65,'[1]m glavni turnir žrebna lista'!$A$7:$R$38,4)))</f>
        <v/>
      </c>
      <c r="Y74" s="281" t="str">
        <f>IF(W74="","",IF($U$64&lt;&gt;$U$65,"",IF($J$65="bb",1,IF($J$65="","0",$I$63))))</f>
        <v/>
      </c>
      <c r="Z74" s="281" t="str">
        <f>IF($W$45="","",IF($U$66&lt;&gt;$U$65,"",IF($L$67="bb",1,IF($L$67="","0",$K$68))))</f>
        <v>0</v>
      </c>
      <c r="AA74" s="281" t="str">
        <f>IF($W$45="","",IF($U$62&lt;&gt;$U$65,"",IF($N$63="bb",1,IF($N$63="","0",$M$58))))</f>
        <v>0</v>
      </c>
      <c r="AB74" s="281" t="str">
        <f>IF($W$45="","",IF($U$54&lt;&gt;$U$65,"",IF($P$55="bb",1,IF($P$55="","0",$O$46))))</f>
        <v>0</v>
      </c>
      <c r="AC74" s="281" t="str">
        <f>IF($W$45="","",IF($U$38&lt;&gt;$U$65,"",IF($P$39="bb",1,IF($P$39="","0",$Q$22))))</f>
        <v>0</v>
      </c>
      <c r="AD74" s="281"/>
      <c r="AE74" s="292">
        <f t="shared" si="3"/>
        <v>0</v>
      </c>
      <c r="AF74" s="283" t="str">
        <f>IF($C65="","",'m glavni - do 35 let'!$C$65)</f>
        <v/>
      </c>
      <c r="AG74" s="285" t="str">
        <f>UPPER(IF($D$65="","",VLOOKUP($D$65,'[1]m glavni turnir žrebna lista'!$A$7:$R$38,3)))</f>
        <v/>
      </c>
      <c r="AH74" s="285" t="str">
        <f>PROPER(IF($D$65="","",VLOOKUP($D$65,'[1]m glavni turnir žrebna lista'!$A$7:$R$38,4)))</f>
        <v/>
      </c>
      <c r="AI74" s="285" t="str">
        <f>UPPER(IF($D$65="","",VLOOKUP($D$65,'[1]m glavni turnir žrebna lista'!$A$7:$R$38,5)))</f>
        <v/>
      </c>
      <c r="AJ74" s="292">
        <f t="shared" si="4"/>
        <v>0</v>
      </c>
    </row>
    <row r="75" spans="1:36" s="330" customFormat="1" ht="9" customHeight="1">
      <c r="A75" s="351"/>
      <c r="B75" s="201"/>
      <c r="C75" s="333"/>
      <c r="D75" s="202">
        <v>4</v>
      </c>
      <c r="E75" s="334" t="str">
        <f>UPPER(IF($D75="","",VLOOKUP($D75,'[1]m glavni turnir žrebna lista'!$A$7:$R$38,3)))</f>
        <v>PEVC PETER</v>
      </c>
      <c r="F75" s="202"/>
      <c r="G75" s="335">
        <f>IF($D75="","",VLOOKUP($D75,'[1]m glavni turnir žrebna lista'!$A$7:$R$38,10))</f>
        <v>0</v>
      </c>
      <c r="H75" s="335">
        <f>IF($D75="","",VLOOKUP($D75,'[1]m glavni turnir žrebna lista'!$A$7:$R$38,14))</f>
        <v>0</v>
      </c>
      <c r="I75" s="342" t="s">
        <v>5</v>
      </c>
      <c r="J75" s="343"/>
      <c r="K75" s="206"/>
      <c r="L75" s="332"/>
      <c r="M75" s="337"/>
      <c r="N75" s="332" t="s">
        <v>117</v>
      </c>
      <c r="O75" s="206"/>
      <c r="P75" s="332"/>
      <c r="Q75" s="337"/>
      <c r="U75" s="180"/>
      <c r="V75" s="285">
        <v>31</v>
      </c>
      <c r="W75" s="285" t="str">
        <f>UPPER(IF($D$67="","",VLOOKUP($D$67,'[1]m glavni turnir žrebna lista'!$A$7:$R$38,3)))</f>
        <v/>
      </c>
      <c r="X75" s="285" t="str">
        <f>PROPER(IF($D$67="","",VLOOKUP($D$67,'[1]m glavni turnir žrebna lista'!$A$7:$R$38,4)))</f>
        <v/>
      </c>
      <c r="Y75" s="281" t="str">
        <f>IF(W75="","",IF($U$68&lt;&gt;$U$67,"",IF($J$69="bb",1,IF($J$69="","0",$I$69))))</f>
        <v/>
      </c>
      <c r="Z75" s="281" t="str">
        <f>IF($W$45="","",IF($U$66&lt;&gt;$U$67,"",IF($L$67="bb",1,IF($L$67="","0",$K$64))))</f>
        <v>0</v>
      </c>
      <c r="AA75" s="281" t="str">
        <f>IF($W$45="","",IF($U$62&lt;&gt;$U$67,"",IF($N$63="bb",1,IF($N$63="","0",$M$58))))</f>
        <v>0</v>
      </c>
      <c r="AB75" s="281" t="str">
        <f>IF($W$45="","",IF($U$54&lt;&gt;$U$67,"",IF($P$55="bb",1,IF($P$55="","0",$O$46))))</f>
        <v>0</v>
      </c>
      <c r="AC75" s="281" t="str">
        <f>IF($W$45="","",IF($U$38&lt;&gt;$U$67,"",IF($P$39="bb",1,IF($P$39="","0",$Q$22))))</f>
        <v>0</v>
      </c>
      <c r="AD75" s="281"/>
      <c r="AE75" s="292">
        <f t="shared" si="3"/>
        <v>0</v>
      </c>
      <c r="AF75" s="283" t="str">
        <f>IF($C67="","",'m glavni - do 35 let'!$C$67)</f>
        <v/>
      </c>
      <c r="AG75" s="285" t="str">
        <f>UPPER(IF($D$67="","",VLOOKUP($D$67,'[1]m glavni turnir žrebna lista'!$A$7:$R$38,3)))</f>
        <v/>
      </c>
      <c r="AH75" s="285" t="str">
        <f>PROPER(IF($D$67="","",VLOOKUP($D$67,'[1]m glavni turnir žrebna lista'!$A$7:$R$38,4)))</f>
        <v/>
      </c>
      <c r="AI75" s="285" t="str">
        <f>UPPER(IF($D$67="","",VLOOKUP($D$67,'[1]m glavni turnir žrebna lista'!$A$7:$R$38,5)))</f>
        <v/>
      </c>
      <c r="AJ75" s="292">
        <f t="shared" si="4"/>
        <v>0</v>
      </c>
    </row>
    <row r="76" spans="1:36" s="330" customFormat="1" ht="9" customHeight="1">
      <c r="A76" s="352"/>
      <c r="B76" s="353"/>
      <c r="C76" s="354"/>
      <c r="D76" s="202">
        <v>5</v>
      </c>
      <c r="E76" s="334" t="str">
        <f>UPPER(IF($D76="","",VLOOKUP($D76,'[1]m glavni turnir žrebna lista'!$A$7:$R$38,3)))</f>
        <v>BIŠČAK URBAN</v>
      </c>
      <c r="F76" s="202"/>
      <c r="G76" s="335">
        <f>IF($D76="","",VLOOKUP($D76,'[1]m glavni turnir žrebna lista'!$A$7:$R$38,10))</f>
        <v>0</v>
      </c>
      <c r="H76" s="335">
        <f>IF($D76="","",VLOOKUP($D76,'[1]m glavni turnir žrebna lista'!$A$7:$R$38,14))</f>
        <v>0</v>
      </c>
      <c r="I76" s="342" t="s">
        <v>6</v>
      </c>
      <c r="J76" s="343"/>
      <c r="K76" s="206"/>
      <c r="L76" s="332"/>
      <c r="M76" s="337"/>
      <c r="N76" s="346" t="s">
        <v>118</v>
      </c>
      <c r="O76" s="345"/>
      <c r="P76" s="346"/>
      <c r="Q76" s="347"/>
      <c r="U76" s="180"/>
      <c r="V76" s="285">
        <v>32</v>
      </c>
      <c r="W76" s="285" t="str">
        <f>UPPER(IF($D$69="","",VLOOKUP($D$69,'[1]m glavni turnir žrebna lista'!$A$7:$R$38,3)))</f>
        <v>BATOR FILIP</v>
      </c>
      <c r="X76" s="285" t="str">
        <f>PROPER(IF($D$69="","",VLOOKUP($D$69,'[1]m glavni turnir žrebna lista'!$A$7:$R$38,4)))</f>
        <v>2</v>
      </c>
      <c r="Y76" s="281" t="str">
        <f>IF(W76="","",IF($U$68&lt;&gt;$U$69,"",IF($J$69="bb",1,IF($J$69="","0",$I$67))))</f>
        <v/>
      </c>
      <c r="Z76" s="281" t="str">
        <f>IF($W$45="","",IF($U$66&lt;&gt;$U$69,"",IF($L$67="bb",1,IF($L$67="","0",$K$64))))</f>
        <v/>
      </c>
      <c r="AA76" s="281" t="str">
        <f>IF($W$45="","",IF($U$62&lt;&gt;$U$69,"",IF($N$63="bb",1,IF($N$63="","0",$M$58))))</f>
        <v/>
      </c>
      <c r="AB76" s="281" t="str">
        <f>IF($W$45="","",IF($U$54&lt;&gt;$U$69,"",IF($P$55="bb",1,IF($P$55="","0",$O$46))))</f>
        <v/>
      </c>
      <c r="AC76" s="281" t="str">
        <f>IF($W$45="","",IF($U$38&lt;&gt;$U$69,"",IF($P$39="bb",1,IF($P$39="","0",$Q$22))))</f>
        <v/>
      </c>
      <c r="AD76" s="281"/>
      <c r="AE76" s="292">
        <f t="shared" si="3"/>
        <v>0</v>
      </c>
      <c r="AF76" s="283">
        <f>IF($C69="","",'m glavni - do 35 let'!$C$69)</f>
        <v>0</v>
      </c>
      <c r="AG76" s="285" t="str">
        <f>UPPER(IF($D$69="","",VLOOKUP($D$69,'[1]m glavni turnir žrebna lista'!$A$7:$R$38,3)))</f>
        <v>BATOR FILIP</v>
      </c>
      <c r="AH76" s="285" t="str">
        <f>PROPER(IF($D$69="","",VLOOKUP($D$69,'[1]m glavni turnir žrebna lista'!$A$7:$R$38,4)))</f>
        <v>2</v>
      </c>
      <c r="AI76" s="285" t="str">
        <f>UPPER(IF($D$69="","",VLOOKUP($D$69,'[1]m glavni turnir žrebna lista'!$A$7:$R$38,5)))</f>
        <v/>
      </c>
      <c r="AJ76" s="292">
        <f t="shared" si="4"/>
        <v>30</v>
      </c>
    </row>
    <row r="77" spans="1:36" s="330" customFormat="1" ht="9" customHeight="1">
      <c r="A77" s="331"/>
      <c r="B77" s="332"/>
      <c r="C77" s="333"/>
      <c r="D77" s="202">
        <v>6</v>
      </c>
      <c r="E77" s="334" t="str">
        <f>UPPER(IF($D77="","",VLOOKUP($D77,'[1]m glavni turnir žrebna lista'!$A$7:$R$38,3)))</f>
        <v>BREULJ ROK</v>
      </c>
      <c r="F77" s="202"/>
      <c r="G77" s="335">
        <f>IF($D77="","",VLOOKUP($D77,'[1]m glavni turnir žrebna lista'!$A$7:$R$38,10))</f>
        <v>0</v>
      </c>
      <c r="H77" s="335">
        <f>IF($D77="","",VLOOKUP($D77,'[1]m glavni turnir žrebna lista'!$A$7:$R$38,14))</f>
        <v>0</v>
      </c>
      <c r="I77" s="342" t="s">
        <v>7</v>
      </c>
      <c r="J77" s="343"/>
      <c r="K77" s="206"/>
      <c r="L77" s="332"/>
      <c r="M77" s="337"/>
      <c r="N77" s="338" t="s">
        <v>116</v>
      </c>
      <c r="O77" s="339"/>
      <c r="P77" s="340"/>
      <c r="Q77" s="337"/>
      <c r="U77" s="180"/>
      <c r="V77" s="355"/>
      <c r="W77" s="355"/>
      <c r="X77" s="355"/>
      <c r="Y77" s="281">
        <f>COUNTIF(Y45:Y76,"&gt;0")</f>
        <v>0</v>
      </c>
      <c r="Z77" s="281">
        <f aca="true" t="shared" si="5" ref="Z77:AE77">COUNTIF(Z45:Z76,"&gt;0")</f>
        <v>2</v>
      </c>
      <c r="AA77" s="281">
        <f t="shared" si="5"/>
        <v>0</v>
      </c>
      <c r="AB77" s="281">
        <f t="shared" si="5"/>
        <v>0</v>
      </c>
      <c r="AC77" s="281">
        <f t="shared" si="5"/>
        <v>0</v>
      </c>
      <c r="AD77" s="281"/>
      <c r="AE77" s="281">
        <f t="shared" si="5"/>
        <v>2</v>
      </c>
      <c r="AF77" s="283"/>
      <c r="AG77" s="355"/>
      <c r="AH77" s="355"/>
      <c r="AI77" s="355"/>
      <c r="AJ77" s="281">
        <f>COUNTIF(AJ45:AJ76,"&gt;0")</f>
        <v>15</v>
      </c>
    </row>
    <row r="78" spans="1:36" s="330" customFormat="1" ht="9" customHeight="1">
      <c r="A78" s="331"/>
      <c r="B78" s="332"/>
      <c r="C78" s="356"/>
      <c r="D78" s="202">
        <v>7</v>
      </c>
      <c r="E78" s="334" t="str">
        <f>UPPER(IF($D78="","",VLOOKUP($D78,'[1]m glavni turnir žrebna lista'!$A$7:$R$38,3)))</f>
        <v>KIMOVEC MATIC</v>
      </c>
      <c r="F78" s="202"/>
      <c r="G78" s="335">
        <f>IF($D78="","",VLOOKUP($D78,'[1]m glavni turnir žrebna lista'!$A$7:$R$38,10))</f>
        <v>0</v>
      </c>
      <c r="H78" s="335">
        <f>IF($D78="","",VLOOKUP($D78,'[1]m glavni turnir žrebna lista'!$A$7:$R$38,14))</f>
        <v>0</v>
      </c>
      <c r="I78" s="342" t="s">
        <v>8</v>
      </c>
      <c r="J78" s="343"/>
      <c r="K78" s="206"/>
      <c r="L78" s="332"/>
      <c r="M78" s="337"/>
      <c r="N78" s="332" t="s">
        <v>119</v>
      </c>
      <c r="O78" s="206"/>
      <c r="P78" s="520" t="str">
        <f>'[1]vnos podatkov'!$B$10</f>
        <v>LUKA ZALAZNIK</v>
      </c>
      <c r="Q78" s="521"/>
      <c r="U78" s="180"/>
      <c r="V78" s="355"/>
      <c r="W78" s="355"/>
      <c r="X78" s="355"/>
      <c r="Y78" s="355"/>
      <c r="Z78" s="355"/>
      <c r="AA78" s="355"/>
      <c r="AB78" s="355"/>
      <c r="AC78" s="355"/>
      <c r="AD78" s="355"/>
      <c r="AE78" s="355"/>
      <c r="AF78" s="283"/>
      <c r="AG78" s="355"/>
      <c r="AH78" s="355"/>
      <c r="AI78" s="355"/>
      <c r="AJ78" s="355"/>
    </row>
    <row r="79" spans="1:36" s="330" customFormat="1" ht="9" customHeight="1">
      <c r="A79" s="357"/>
      <c r="B79" s="346"/>
      <c r="C79" s="358"/>
      <c r="D79" s="359">
        <v>8</v>
      </c>
      <c r="E79" s="360" t="str">
        <f>UPPER(IF($D79="","",VLOOKUP($D79,'[1]m glavni turnir žrebna lista'!$A$7:$R$38,3)))</f>
        <v>LAP JAN</v>
      </c>
      <c r="F79" s="359"/>
      <c r="G79" s="361">
        <f>IF($D79="","",VLOOKUP($D79,'[1]m glavni turnir žrebna lista'!$A$7:$R$38,10))</f>
        <v>0</v>
      </c>
      <c r="H79" s="361">
        <f>IF($D79="","",VLOOKUP($D79,'[1]m glavni turnir žrebna lista'!$A$7:$R$38,14))</f>
        <v>0</v>
      </c>
      <c r="I79" s="362" t="s">
        <v>9</v>
      </c>
      <c r="J79" s="346"/>
      <c r="K79" s="345"/>
      <c r="L79" s="346"/>
      <c r="M79" s="347"/>
      <c r="N79" s="346" t="s">
        <v>120</v>
      </c>
      <c r="O79" s="345"/>
      <c r="P79" s="522" t="str">
        <f>'[1]vnos podatkov'!$E$10</f>
        <v>ANJA REGENT</v>
      </c>
      <c r="Q79" s="523"/>
      <c r="U79" s="180"/>
      <c r="V79" s="363"/>
      <c r="W79" s="363"/>
      <c r="X79" s="363"/>
      <c r="Y79" s="363"/>
      <c r="Z79" s="363"/>
      <c r="AA79" s="363"/>
      <c r="AB79" s="363"/>
      <c r="AC79" s="363"/>
      <c r="AD79" s="363"/>
      <c r="AE79" s="363"/>
      <c r="AF79" s="364"/>
      <c r="AG79" s="363"/>
      <c r="AH79" s="363"/>
      <c r="AI79" s="363"/>
      <c r="AJ79" s="363"/>
    </row>
  </sheetData>
  <mergeCells count="8">
    <mergeCell ref="A73:B73"/>
    <mergeCell ref="P78:Q78"/>
    <mergeCell ref="P79:Q79"/>
    <mergeCell ref="F3:G3"/>
    <mergeCell ref="V41:Z41"/>
    <mergeCell ref="P60:Q60"/>
    <mergeCell ref="P61:Q62"/>
    <mergeCell ref="P71:Q71"/>
  </mergeCells>
  <conditionalFormatting sqref="G39 G41 G7 G9 G11 G13 G15 G17 G19 G23 G43 G45 G47 G49 G51 G53 G21 G25 G27 G29 G31 G33 G35 G37 G55 G57 G59 G61 G63 G65 G67 G69">
    <cfRule type="expression" priority="1" dxfId="25" stopIfTrue="1">
      <formula>AND($D7&lt;9,$C7&gt;0)</formula>
    </cfRule>
  </conditionalFormatting>
  <conditionalFormatting sqref="L10 L18 L26 L34 L42 L50 L58 L66 N14 N30 N46 N62 P22 P54 J8 J12 J16 J20 J24 J28 J32 J36 J40 J44 J48 J52 J56 J60 J64 J68">
    <cfRule type="expression" priority="2" dxfId="25" stopIfTrue="1">
      <formula>I8="as"</formula>
    </cfRule>
    <cfRule type="expression" priority="3" dxfId="25" stopIfTrue="1">
      <formula>I8="bs"</formula>
    </cfRule>
  </conditionalFormatting>
  <conditionalFormatting sqref="B57 B9 B11 B13 B15 B17 B19 B67 B59 B25 B27 B29 B31 B33 B35 B65 B63 B41 B43 B45 B47 B49 B51 B61">
    <cfRule type="cellIs" priority="4" dxfId="20" operator="equal" stopIfTrue="1">
      <formula>"QA"</formula>
    </cfRule>
    <cfRule type="cellIs" priority="5" dxfId="20" operator="equal" stopIfTrue="1">
      <formula>"DA"</formula>
    </cfRule>
  </conditionalFormatting>
  <conditionalFormatting sqref="I8 I12 I16 I20 I24 I28 I32 I36 I40 I44 I48 I52 I56 I60 I64 I68 K66 K58 K50 K42 K34 K26 K18 K10 M14 M30 M46 M62 O22 O54 O39">
    <cfRule type="expression" priority="6" dxfId="31" stopIfTrue="1">
      <formula>$N$1="CU"</formula>
    </cfRule>
  </conditionalFormatting>
  <conditionalFormatting sqref="P38">
    <cfRule type="expression" priority="7" dxfId="25" stopIfTrue="1">
      <formula>O39="as"</formula>
    </cfRule>
    <cfRule type="expression" priority="8" dxfId="25" stopIfTrue="1">
      <formula>O39="bs"</formula>
    </cfRule>
  </conditionalFormatting>
  <conditionalFormatting sqref="N39 H8 H12 H16 H20 H24 H28 H32 H36 H40 H44 H48 H52 H56 H60 H64 H68 J66 J58 J50 J42 J34 J26 J18 J10 L14 L30 L46 L62 N54 N22">
    <cfRule type="expression" priority="9" dxfId="28" stopIfTrue="1">
      <formula>AND($N$1="CU",H8="Sodnik")</formula>
    </cfRule>
    <cfRule type="expression" priority="10" dxfId="27" stopIfTrue="1">
      <formula>AND($N$1="CU",H8&lt;&gt;"Sodnik",I8&lt;&gt;"")</formula>
    </cfRule>
    <cfRule type="expression" priority="11" dxfId="26" stopIfTrue="1">
      <formula>AND($N$1="CU",H8&lt;&gt;"Sodnik")</formula>
    </cfRule>
  </conditionalFormatting>
  <conditionalFormatting sqref="E7 B21 B7:C7 B23:C23 B37:C37 B39:C39 B53:C53 B55:C55 B69:C69">
    <cfRule type="expression" priority="12" dxfId="25" stopIfTrue="1">
      <formula>"IF(D7&lt;9)"</formula>
    </cfRule>
  </conditionalFormatting>
  <conditionalFormatting sqref="U52">
    <cfRule type="expression" priority="13" dxfId="24" stopIfTrue="1">
      <formula>"IF(Q63=J4)"</formula>
    </cfRule>
  </conditionalFormatting>
  <conditionalFormatting sqref="Q63">
    <cfRule type="cellIs" priority="14" dxfId="23" operator="equal" stopIfTrue="1">
      <formula>1</formula>
    </cfRule>
  </conditionalFormatting>
  <conditionalFormatting sqref="P63">
    <cfRule type="cellIs" priority="15" operator="equal" stopIfTrue="1">
      <formula>"Rang turnirja"</formula>
    </cfRule>
  </conditionalFormatting>
  <conditionalFormatting sqref="D9 D11 D13 D15 D17 D19 D25 D27 D29 D31 D33 D35 D41 D43 D45 D47 D49 D51 D57 D59 D61 D63 D65 D67">
    <cfRule type="expression" priority="16" dxfId="22" stopIfTrue="1">
      <formula>$D9&gt;0</formula>
    </cfRule>
  </conditionalFormatting>
  <conditionalFormatting sqref="D7 D21 D23 D37 D39 D53 D55 D69">
    <cfRule type="expression" priority="17" dxfId="21"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200" verticalDpi="200" orientation="portrait" paperSize="9" scale="97" r:id="rId6"/>
  <drawing r:id="rId3"/>
  <legacyDrawing r:id="rId2"/>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1]!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4098" r:id="rId5" name="Button 2">
              <controlPr defaultSize="0" print="0" autoFill="0" autoPict="0" macro="[1]!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9"/>
  <sheetViews>
    <sheetView showGridLines="0" showZeros="0" workbookViewId="0" topLeftCell="A39">
      <selection activeCell="N67" sqref="N67"/>
    </sheetView>
  </sheetViews>
  <sheetFormatPr defaultColWidth="9.140625" defaultRowHeight="15"/>
  <cols>
    <col min="1" max="1" width="3.140625" style="173" customWidth="1"/>
    <col min="2" max="2" width="3.57421875" style="173" customWidth="1"/>
    <col min="3" max="3" width="5.00390625" style="173" customWidth="1"/>
    <col min="4" max="4" width="4.28125" style="173" customWidth="1"/>
    <col min="5" max="5" width="12.7109375" style="173" customWidth="1"/>
    <col min="6" max="6" width="2.7109375" style="173" customWidth="1"/>
    <col min="7" max="7" width="7.7109375" style="173" customWidth="1"/>
    <col min="8" max="8" width="5.8515625" style="173" customWidth="1"/>
    <col min="9" max="9" width="2.7109375" style="365" customWidth="1"/>
    <col min="10" max="10" width="10.7109375" style="173" customWidth="1"/>
    <col min="11" max="11" width="2.421875" style="365" customWidth="1"/>
    <col min="12" max="12" width="10.7109375" style="173" customWidth="1"/>
    <col min="13" max="13" width="1.7109375" style="366" customWidth="1"/>
    <col min="14" max="14" width="10.7109375" style="173" customWidth="1"/>
    <col min="15" max="15" width="1.7109375" style="365" customWidth="1"/>
    <col min="16" max="16" width="10.7109375" style="173" customWidth="1"/>
    <col min="17" max="17" width="3.421875" style="366" customWidth="1"/>
    <col min="18" max="18" width="7.8515625" style="173" customWidth="1"/>
    <col min="19" max="19" width="0.71875" style="173" hidden="1" customWidth="1"/>
    <col min="20" max="20" width="4.7109375" style="173" hidden="1" customWidth="1"/>
    <col min="21" max="21" width="7.7109375" style="167" customWidth="1"/>
    <col min="22" max="22" width="4.140625" style="367" customWidth="1"/>
    <col min="23" max="30" width="9.140625" style="367" customWidth="1"/>
    <col min="31" max="31" width="9.8515625" style="367" customWidth="1"/>
    <col min="32" max="32" width="9.140625" style="368" customWidth="1"/>
    <col min="33" max="33" width="14.57421875" style="367" customWidth="1"/>
    <col min="34" max="34" width="10.8515625" style="367" customWidth="1"/>
    <col min="35" max="35" width="9.140625" style="367" customWidth="1"/>
    <col min="36" max="36" width="9.57421875" style="367" customWidth="1"/>
    <col min="37" max="16384" width="9.140625" style="173" customWidth="1"/>
  </cols>
  <sheetData>
    <row r="1" spans="1:36" s="153" customFormat="1" ht="21.75" customHeight="1">
      <c r="A1" s="146" t="str">
        <f>'[2]vnos podatkov'!$A$6</f>
        <v>RVO - DRŽAVNO PRVENSTVO</v>
      </c>
      <c r="B1" s="147"/>
      <c r="C1" s="148"/>
      <c r="D1" s="148"/>
      <c r="E1" s="148"/>
      <c r="F1" s="148"/>
      <c r="G1" s="148"/>
      <c r="H1" s="146"/>
      <c r="I1" s="149"/>
      <c r="J1" s="150" t="s">
        <v>63</v>
      </c>
      <c r="K1" s="151"/>
      <c r="L1" s="152"/>
      <c r="M1" s="149"/>
      <c r="N1" s="149" t="s">
        <v>0</v>
      </c>
      <c r="O1" s="149"/>
      <c r="P1" s="148"/>
      <c r="Q1" s="149"/>
      <c r="U1" s="154"/>
      <c r="V1" s="155" t="str">
        <f>'[2]vnos podatkov'!$A$6</f>
        <v>RVO - DRŽAVNO PRVENSTVO</v>
      </c>
      <c r="W1" s="156"/>
      <c r="X1" s="156"/>
      <c r="Y1" s="156"/>
      <c r="Z1" s="156"/>
      <c r="AA1" s="156"/>
      <c r="AB1" s="156"/>
      <c r="AC1" s="156"/>
      <c r="AD1" s="156"/>
      <c r="AE1" s="156"/>
      <c r="AF1" s="157"/>
      <c r="AG1" s="156"/>
      <c r="AH1" s="156"/>
      <c r="AI1" s="156"/>
      <c r="AJ1" s="156"/>
    </row>
    <row r="2" spans="1:36" ht="15">
      <c r="A2" s="158">
        <f>'[2]vnos podatkov'!$A$8</f>
        <v>0</v>
      </c>
      <c r="B2" s="159">
        <f>'[2]vnos podatkov'!$B$8</f>
        <v>0</v>
      </c>
      <c r="C2" s="160">
        <f>'[2]vnos podatkov'!$C$8</f>
        <v>0</v>
      </c>
      <c r="D2" s="159"/>
      <c r="E2" s="159"/>
      <c r="F2" s="161"/>
      <c r="G2" s="162"/>
      <c r="H2" s="162"/>
      <c r="I2" s="163"/>
      <c r="J2" s="164" t="s">
        <v>64</v>
      </c>
      <c r="K2" s="151"/>
      <c r="L2" s="165"/>
      <c r="M2" s="163"/>
      <c r="N2" s="162"/>
      <c r="O2" s="163"/>
      <c r="P2" s="162"/>
      <c r="Q2" s="163"/>
      <c r="R2" s="166"/>
      <c r="S2" s="166"/>
      <c r="T2" s="166"/>
      <c r="V2" s="168">
        <f>'[2]vnos podatkov'!$A$8</f>
        <v>0</v>
      </c>
      <c r="W2" s="169">
        <f>'[2]vnos podatkov'!$B$8</f>
        <v>0</v>
      </c>
      <c r="X2" s="169">
        <f>'[2]vnos podatkov'!$C$8</f>
        <v>0</v>
      </c>
      <c r="Y2" s="170">
        <f>'[2]vnos podatkov'!$A$10</f>
        <v>0</v>
      </c>
      <c r="Z2" s="171"/>
      <c r="AA2" s="171"/>
      <c r="AB2" s="171"/>
      <c r="AC2" s="171"/>
      <c r="AD2" s="171"/>
      <c r="AE2" s="171"/>
      <c r="AF2" s="172"/>
      <c r="AG2" s="171"/>
      <c r="AH2" s="171"/>
      <c r="AI2" s="171"/>
      <c r="AJ2" s="171"/>
    </row>
    <row r="3" spans="1:36" s="179" customFormat="1" ht="11.25" customHeight="1">
      <c r="A3" s="174" t="s">
        <v>1</v>
      </c>
      <c r="B3" s="174"/>
      <c r="C3" s="174"/>
      <c r="D3" s="175" t="s">
        <v>65</v>
      </c>
      <c r="E3" s="174"/>
      <c r="F3" s="524" t="s">
        <v>66</v>
      </c>
      <c r="G3" s="524"/>
      <c r="H3" s="174"/>
      <c r="I3" s="176"/>
      <c r="J3" s="177" t="s">
        <v>67</v>
      </c>
      <c r="K3" s="176"/>
      <c r="L3" s="174" t="s">
        <v>68</v>
      </c>
      <c r="M3" s="176"/>
      <c r="N3" s="177" t="s">
        <v>69</v>
      </c>
      <c r="O3" s="176"/>
      <c r="P3" s="174"/>
      <c r="Q3" s="178" t="s">
        <v>70</v>
      </c>
      <c r="U3" s="180"/>
      <c r="V3" s="181" t="s">
        <v>71</v>
      </c>
      <c r="W3" s="182"/>
      <c r="X3" s="182"/>
      <c r="Y3" s="183"/>
      <c r="Z3" s="184"/>
      <c r="AA3" s="184"/>
      <c r="AB3" s="184"/>
      <c r="AC3" s="184"/>
      <c r="AD3" s="184"/>
      <c r="AE3" s="185"/>
      <c r="AF3" s="186"/>
      <c r="AG3" s="187"/>
      <c r="AH3" s="187"/>
      <c r="AI3" s="187"/>
      <c r="AJ3" s="187"/>
    </row>
    <row r="4" spans="1:36" s="196" customFormat="1" ht="11.25" customHeight="1" thickBot="1">
      <c r="A4" s="188">
        <f>'[2]vnos podatkov'!$D$8</f>
        <v>0</v>
      </c>
      <c r="B4" s="188"/>
      <c r="C4" s="188"/>
      <c r="D4" s="188">
        <f>'[2]vnos podatkov'!$A$10</f>
        <v>0</v>
      </c>
      <c r="E4" s="189"/>
      <c r="F4" s="190" t="str">
        <f>'[2]vnos podatkov'!$C$10</f>
        <v>TK ZKLUB</v>
      </c>
      <c r="G4" s="190"/>
      <c r="H4" s="190"/>
      <c r="I4" s="191"/>
      <c r="J4" s="192">
        <f>'[2]vnos podatkov'!$D$10</f>
        <v>0</v>
      </c>
      <c r="K4" s="191"/>
      <c r="L4" s="193" t="str">
        <f>'[2]vnos podatkov'!$B$10</f>
        <v>LUKA ZALAZNIK</v>
      </c>
      <c r="M4" s="191"/>
      <c r="N4" s="194">
        <f>COUNTIF(C7:C69,"&gt;0")</f>
        <v>0</v>
      </c>
      <c r="O4" s="191"/>
      <c r="P4" s="189"/>
      <c r="Q4" s="195" t="str">
        <f>'[2]vnos podatkov'!$E$10</f>
        <v>ANJA REGENT</v>
      </c>
      <c r="U4" s="197"/>
      <c r="V4" s="198"/>
      <c r="W4" s="198"/>
      <c r="X4" s="198"/>
      <c r="Y4" s="199"/>
      <c r="Z4" s="199"/>
      <c r="AA4" s="199"/>
      <c r="AB4" s="199"/>
      <c r="AC4" s="199"/>
      <c r="AD4" s="199"/>
      <c r="AE4" s="199"/>
      <c r="AF4" s="200"/>
      <c r="AG4" s="198"/>
      <c r="AH4" s="198"/>
      <c r="AI4" s="198"/>
      <c r="AJ4" s="198"/>
    </row>
    <row r="5" spans="1:36" s="179" customFormat="1" ht="15">
      <c r="A5" s="201"/>
      <c r="B5" s="202" t="s">
        <v>72</v>
      </c>
      <c r="C5" s="202" t="s">
        <v>73</v>
      </c>
      <c r="D5" s="202" t="s">
        <v>74</v>
      </c>
      <c r="E5" s="203" t="s">
        <v>75</v>
      </c>
      <c r="F5" s="203" t="s">
        <v>76</v>
      </c>
      <c r="G5" s="203"/>
      <c r="H5" s="203" t="s">
        <v>66</v>
      </c>
      <c r="I5" s="204"/>
      <c r="J5" s="202" t="s">
        <v>77</v>
      </c>
      <c r="K5" s="205"/>
      <c r="L5" s="202" t="s">
        <v>78</v>
      </c>
      <c r="M5" s="205"/>
      <c r="N5" s="202" t="s">
        <v>79</v>
      </c>
      <c r="O5" s="205"/>
      <c r="P5" s="202" t="s">
        <v>80</v>
      </c>
      <c r="Q5" s="206"/>
      <c r="U5" s="180" t="s">
        <v>73</v>
      </c>
      <c r="V5" s="207" t="s">
        <v>81</v>
      </c>
      <c r="W5" s="208" t="s">
        <v>75</v>
      </c>
      <c r="X5" s="208" t="s">
        <v>76</v>
      </c>
      <c r="Y5" s="209" t="s">
        <v>82</v>
      </c>
      <c r="Z5" s="209" t="s">
        <v>83</v>
      </c>
      <c r="AA5" s="209" t="s">
        <v>78</v>
      </c>
      <c r="AB5" s="209" t="s">
        <v>79</v>
      </c>
      <c r="AC5" s="209" t="s">
        <v>84</v>
      </c>
      <c r="AD5" s="209" t="s">
        <v>85</v>
      </c>
      <c r="AE5" s="210" t="s">
        <v>86</v>
      </c>
      <c r="AF5" s="186"/>
      <c r="AG5" s="187"/>
      <c r="AH5" s="187"/>
      <c r="AI5" s="187"/>
      <c r="AJ5" s="187"/>
    </row>
    <row r="6" spans="1:36" s="179" customFormat="1" ht="3.75" customHeight="1" thickBot="1">
      <c r="A6" s="211"/>
      <c r="B6" s="212"/>
      <c r="C6" s="213"/>
      <c r="D6" s="212"/>
      <c r="E6" s="214"/>
      <c r="F6" s="215"/>
      <c r="G6" s="216"/>
      <c r="H6" s="214"/>
      <c r="I6" s="217"/>
      <c r="J6" s="212"/>
      <c r="K6" s="217"/>
      <c r="L6" s="212"/>
      <c r="M6" s="217"/>
      <c r="N6" s="212"/>
      <c r="O6" s="217"/>
      <c r="P6" s="212"/>
      <c r="Q6" s="218"/>
      <c r="U6" s="180"/>
      <c r="V6" s="219"/>
      <c r="W6" s="220"/>
      <c r="X6" s="220"/>
      <c r="Y6" s="221"/>
      <c r="Z6" s="221"/>
      <c r="AA6" s="221"/>
      <c r="AB6" s="221"/>
      <c r="AC6" s="221"/>
      <c r="AD6" s="221"/>
      <c r="AE6" s="222"/>
      <c r="AF6" s="186"/>
      <c r="AG6" s="187"/>
      <c r="AH6" s="187"/>
      <c r="AI6" s="187"/>
      <c r="AJ6" s="187"/>
    </row>
    <row r="7" spans="1:36" s="234" customFormat="1" ht="10.5" customHeight="1">
      <c r="A7" s="223">
        <v>1</v>
      </c>
      <c r="B7" s="224">
        <f>IF($D7="","",VLOOKUP($D7,'[2]m glavni turnir žrebna lista'!$A$7:$R$38,17))</f>
        <v>0</v>
      </c>
      <c r="C7" s="224">
        <f>IF($D7="","",VLOOKUP($D7,'[2]m glavni turnir žrebna lista'!$A$7:$R$38,2))</f>
        <v>0</v>
      </c>
      <c r="D7" s="225">
        <v>1</v>
      </c>
      <c r="E7" s="224" t="str">
        <f>UPPER(IF($D7="","",VLOOKUP($D7,'[2]m glavni turnir žrebna lista'!$A$7:$R$38,3)))</f>
        <v>ŠKRJANC MARKO</v>
      </c>
      <c r="F7" s="224" t="str">
        <f>PROPER(IF($D7="","",VLOOKUP($D7,'[2]m glavni turnir žrebna lista'!$A$7:$R$38,4)))</f>
        <v>1</v>
      </c>
      <c r="G7" s="224"/>
      <c r="H7" s="224">
        <f>IF($D7="","",VLOOKUP($D7,'[2]m glavni turnir žrebna lista'!$A$7:$R$38,5))</f>
        <v>0</v>
      </c>
      <c r="I7" s="226">
        <f>IF($D7="","",VLOOKUP($D7,'[2]m glavni turnir žrebna lista'!$A$7:$R$38,14))</f>
        <v>0</v>
      </c>
      <c r="J7" s="227"/>
      <c r="K7" s="228"/>
      <c r="L7" s="227"/>
      <c r="M7" s="228"/>
      <c r="N7" s="229"/>
      <c r="O7" s="230"/>
      <c r="P7" s="231"/>
      <c r="Q7" s="232"/>
      <c r="R7" s="233"/>
      <c r="T7" s="235" t="e">
        <f>#REF!</f>
        <v>#REF!</v>
      </c>
      <c r="U7" s="180">
        <f>IF($D7="","",VLOOKUP($D7,'[2]m glavni turnir žrebna lista'!$A$7:$R$38,2))</f>
        <v>0</v>
      </c>
      <c r="V7" s="208">
        <v>1</v>
      </c>
      <c r="W7" s="208" t="str">
        <f>UPPER(IF($D7="","",VLOOKUP($D7,'[2]m glavni turnir žrebna lista'!$A$7:$R$38,3)))</f>
        <v>ŠKRJANC MARKO</v>
      </c>
      <c r="X7" s="208" t="str">
        <f>PROPER(IF($D7="","",VLOOKUP($D7,'[2]m glavni turnir žrebna lista'!$A$7:$R$38,4)))</f>
        <v>1</v>
      </c>
      <c r="Y7" s="236" t="str">
        <f aca="true" t="shared" si="0" ref="Y7:Y38">IF(W7="","",IF($Q$63=1,30,IF($Q$63=2,15,IF($Q$63=3,10,""))))</f>
        <v/>
      </c>
      <c r="Z7" s="209" t="str">
        <f>IF(Y7="","",IF(AND($Q$63=1,$U$8=$U$7),30,IF(AND($Q$63=2,$U$8=$U$7),15,IF(AND($Q$63=3,$U$8=$U$7),10,""))))</f>
        <v/>
      </c>
      <c r="AA7" s="209" t="str">
        <f>IF(Z7="","",IF(AND($Q$63=1,$U$8=$U$10,$U$10=$U$7),60,IF(AND($Q$63=2,$U$8=$U$10,$U$10=$U$7),30,IF(AND($Q$63=3,$U$8=$U$10,$U$10=$U$7),20,""))))</f>
        <v/>
      </c>
      <c r="AB7" s="209" t="str">
        <f>IF(AA7="","",IF(AND($Q$63=1,$U$8=$U$10,$U$10=$U$7,$U$10=$U$14),120,IF(AND($Q$63=2,$U$8=$U$10,$U$10=$U$7,$U$10=$U$14),60,IF(AND($Q$63=3,$U$8=$U$10,$U$10=$U$7,$U$10=$U$14),40,""))))</f>
        <v/>
      </c>
      <c r="AC7" s="209" t="str">
        <f>IF(AB7="","",IF(AND($Q$63=1,$U$8=$U$10,$U$10=$U$7,$U$10=$U$14,$U$22=$U$14),120,IF(AND($Q$63=2,$U$8=$U$10,$U$10=$U$7,$U$10=$U$14,$U$22=$U$14),60,IF(AND($Q$63=3,$U$8=$U$10,$U$10=$U$7,$U$10=$U$14,$U$22=$U$14),40,""))))</f>
        <v/>
      </c>
      <c r="AD7" s="209" t="str">
        <f>IF(AC7="","",IF(AND($Q$63=1,$U$8=$U$10,$U$10=$U$7,$U$10=$U$14,$U$22=$U$14,$U$38=$U$22),120,IF(AND($Q$63=2,$U$8=$U$10,$U$10=$U$7,$U$10=$U$14,$U$22=$U$14,$U$38=$U$22),60,IF(AND($Q$63=3,$U$8=$U$10,$U$10=$U$7,$U$10=$U$14,$U$22=$U$14,$U$38=$U$22),40,""))))</f>
        <v/>
      </c>
      <c r="AE7" s="237">
        <f>IF($C$2="B turnir",SUM(Y7:AD7)*0.1,SUM(Y7:AD7))</f>
        <v>0</v>
      </c>
      <c r="AF7" s="186"/>
      <c r="AG7" s="238"/>
      <c r="AH7" s="238"/>
      <c r="AI7" s="238"/>
      <c r="AJ7" s="238"/>
    </row>
    <row r="8" spans="1:36" s="234" customFormat="1" ht="9.6" customHeight="1">
      <c r="A8" s="239"/>
      <c r="B8" s="240"/>
      <c r="C8" s="240"/>
      <c r="D8" s="240"/>
      <c r="E8" s="241"/>
      <c r="F8" s="241"/>
      <c r="G8" s="242"/>
      <c r="H8" s="243" t="s">
        <v>87</v>
      </c>
      <c r="I8" s="244" t="s">
        <v>121</v>
      </c>
      <c r="J8" s="245" t="str">
        <f>UPPER(IF(OR(I8="a",I8="as"),E7,IF(OR(I8="b",I8="bs"),E9,)))</f>
        <v>ŠKRJANC MARKO</v>
      </c>
      <c r="K8" s="246">
        <f>IF(OR(I8="a",I8="as"),I7,IF(OR(I8="b",I8="bs"),I9,))</f>
        <v>0</v>
      </c>
      <c r="L8" s="227"/>
      <c r="M8" s="228"/>
      <c r="N8" s="229"/>
      <c r="O8" s="230"/>
      <c r="P8" s="231"/>
      <c r="Q8" s="232"/>
      <c r="R8" s="233"/>
      <c r="T8" s="247" t="e">
        <f>#REF!</f>
        <v>#REF!</v>
      </c>
      <c r="U8" s="180">
        <f>IF(OR(I8="a",I8="as"),C7,IF(OR(I8="b",I8="bs"),C9,""))</f>
        <v>0</v>
      </c>
      <c r="V8" s="208">
        <v>2</v>
      </c>
      <c r="W8" s="248" t="str">
        <f>UPPER(IF($D9="","",VLOOKUP($D9,'[2]m glavni turnir žrebna lista'!$A$7:$R$38,3)))</f>
        <v/>
      </c>
      <c r="X8" s="248" t="str">
        <f>PROPER(IF($D9="","",VLOOKUP($D9,'[2]m glavni turnir žrebna lista'!$A$7:$R$38,4)))</f>
        <v/>
      </c>
      <c r="Y8" s="249" t="str">
        <f t="shared" si="0"/>
        <v/>
      </c>
      <c r="Z8" s="249" t="str">
        <f>IF(Y8="","",IF(AND($Q$63=1,U9=$U$8),30,IF(AND($Q$63=2,U9=$U$8),15,IF(AND($Q$63=3,U9=$U$8),10,""))))</f>
        <v/>
      </c>
      <c r="AA8" s="249" t="str">
        <f>IF(Z8="","",IF(AND($Q$63=1,U9=$U$10,$U$10=$U$8),60,IF(AND($Q$63=2,U9=$U$10,$U$10=$U$8),30,IF(AND($Q$63=3,U9=$U$10,$U$10=$U$8),20,""))))</f>
        <v/>
      </c>
      <c r="AB8" s="249" t="str">
        <f>IF(AA8="","",IF(AND($Q$63=1,$U$8=U9,$U$8=$U$10,$U$10=$U$14),120,IF(AND($Q$63=2,$U$8=U9,$U$8=$U$10,$U$10=$U$14),60,IF(AND($Q$63=3,$U$8=U9,$U$8=$U$10,$U$10=$U$14),40,""))))</f>
        <v/>
      </c>
      <c r="AC8" s="249" t="str">
        <f>IF(AB8="","",IF(AND($Q$63=1,$U$8=$U$10,$U$10=$U$9,$U$10=$U$14,$U$22=$U$14),120,IF(AND($Q$63=2,$U$8=$U$10,$U$10=$U$9,$U$10=$U$14,$U$22=$U$14),60,IF(AND($Q$63=3,$U$8=$U$10,$U$10=$U$9,$U$10=$U$14,$U$22=$U$14),40,""))))</f>
        <v/>
      </c>
      <c r="AD8" s="249" t="str">
        <f>IF(AC8="","",IF(AND($Q$63=1,$U$8=$U$10,$U$10=$U$9,$U$10=$U$14,$U$22=$U$14,$U$38=$U$22),120,IF(AND($Q$63=2,$U$8=$U$10,$U$10=$U$9,$U$10=$U$14,$U$22=$U$14,$U$38=$U$22),60,IF(AND($Q$63=3,$U$8=$U$10,$U$10=$U$9,$U$10=$U$14,$U$22=$U$14,$U$38=$U$22),40,""))))</f>
        <v/>
      </c>
      <c r="AE8" s="250">
        <f aca="true" t="shared" si="1" ref="AE8:AE38">IF($C$2="B turnir",SUM(Y8:AD8)*0.1,SUM(Y8:AD8))</f>
        <v>0</v>
      </c>
      <c r="AF8" s="186"/>
      <c r="AG8" s="238"/>
      <c r="AH8" s="238"/>
      <c r="AI8" s="238"/>
      <c r="AJ8" s="238"/>
    </row>
    <row r="9" spans="1:36" s="234" customFormat="1" ht="9.6" customHeight="1">
      <c r="A9" s="239">
        <v>2</v>
      </c>
      <c r="B9" s="251" t="str">
        <f>IF($D9="","",VLOOKUP($D9,'[2]m glavni turnir žrebna lista'!$A$7:$R$38,17))</f>
        <v/>
      </c>
      <c r="C9" s="251" t="str">
        <f>IF($D9="","",VLOOKUP($D9,'[2]m glavni turnir žrebna lista'!$A$7:$R$38,2))</f>
        <v/>
      </c>
      <c r="D9" s="225"/>
      <c r="E9" s="252" t="s">
        <v>3</v>
      </c>
      <c r="F9" s="252" t="str">
        <f>PROPER(IF($D9="","",VLOOKUP($D9,'[2]m glavni turnir žrebna lista'!$A$7:$R$38,4)))</f>
        <v/>
      </c>
      <c r="G9" s="252"/>
      <c r="H9" s="252" t="str">
        <f>IF($D9="","",VLOOKUP($D9,'[2]m glavni turnir žrebna lista'!$A$7:$R$38,5))</f>
        <v/>
      </c>
      <c r="I9" s="253" t="str">
        <f>IF($D9="","",VLOOKUP($D9,'[2]m glavni turnir žrebna lista'!$A$7:$R$38,14))</f>
        <v/>
      </c>
      <c r="J9" s="254"/>
      <c r="K9" s="255"/>
      <c r="L9" s="227"/>
      <c r="M9" s="228"/>
      <c r="N9" s="229"/>
      <c r="O9" s="230"/>
      <c r="P9" s="231"/>
      <c r="Q9" s="232"/>
      <c r="R9" s="233"/>
      <c r="T9" s="247" t="e">
        <f>#REF!</f>
        <v>#REF!</v>
      </c>
      <c r="U9" s="180" t="str">
        <f>IF($D9="","",VLOOKUP($D9,'[2]m glavni turnir žrebna lista'!$A$7:$R$38,2))</f>
        <v/>
      </c>
      <c r="V9" s="208">
        <v>3</v>
      </c>
      <c r="W9" s="208" t="str">
        <f>UPPER(IF($D11="","",VLOOKUP($D11,'[2]m glavni turnir žrebna lista'!$A$7:$R$38,3)))</f>
        <v>SMERKOL DAMJAN</v>
      </c>
      <c r="X9" s="208" t="str">
        <f>PROPER(IF($D11="","",VLOOKUP($D11,'[2]m glavni turnir žrebna lista'!$A$7:$R$38,4)))</f>
        <v/>
      </c>
      <c r="Y9" s="209" t="str">
        <f t="shared" si="0"/>
        <v/>
      </c>
      <c r="Z9" s="209" t="str">
        <f>IF(Y9="","",IF(AND($Q$63=1,U11=U12),30,IF(AND($Q$63=2,U11=U12),15,IF(AND($Q$63=3,U11=U12),10,""))))</f>
        <v/>
      </c>
      <c r="AA9" s="209" t="str">
        <f>IF(Z9="","",IF(AND($Q$63=1,$U$10=U11,U11=U12),60,IF(AND($Q$63=2,$U$10=U11,U11=U12),30,IF(AND($Q$63=3,$U$10=U11,U11=U12),20,""))))</f>
        <v/>
      </c>
      <c r="AB9" s="209" t="str">
        <f>IF(AA9="","",IF(AND($Q$63=1,$U$14=$U$10,$U$10=U12,U11=U12),120,IF(AND($Q$63=2,$U$10=$U$14,$U$10=U12,U12=U11),60,IF(AND($Q$63=3,$U$10=$U$14,$U$10=U12,U12=U11),40,""))))</f>
        <v/>
      </c>
      <c r="AC9" s="209" t="str">
        <f>IF(AB9="","",IF(AND($Q$63=1,$U$11=$U$12,$U$10=$U$12,$U$10=$U$14,$U$22=$U$14),120,IF(AND($Q$63=2,$U$11=$U$12,$U$12=$U$10,$U$10=$U$14,$U$22=$U$14),60,IF(AND($Q$63=3,$U$11=$U$12,$U$12=$U$10,$U$10=$U$14,$U$22=$U$14),40,""))))</f>
        <v/>
      </c>
      <c r="AD9" s="209" t="str">
        <f>IF(AC9="","",IF(AND($Q$63=1,$U$11=$U$12,$U$10=$U$12,$U$10=$U$14,$U$22=$U$14,$U$38=$U$22),120,IF(AND($Q$63=2,$U$11=$U$12,$U$12=$U$10,$U$10=$U$14,$U$22=$U$14,$U$38=$U$22),60,IF(AND($Q$63=3,$U$11=$U$12,$U$12=$U$10,$U$10=$U$14,$U$22=$U$14,$U$38=$U$22),40,""))))</f>
        <v/>
      </c>
      <c r="AE9" s="237">
        <f t="shared" si="1"/>
        <v>0</v>
      </c>
      <c r="AF9" s="186"/>
      <c r="AG9" s="238"/>
      <c r="AH9" s="238"/>
      <c r="AI9" s="238"/>
      <c r="AJ9" s="238"/>
    </row>
    <row r="10" spans="1:36" s="234" customFormat="1" ht="9.6" customHeight="1">
      <c r="A10" s="239"/>
      <c r="B10" s="240"/>
      <c r="C10" s="240"/>
      <c r="D10" s="256"/>
      <c r="E10" s="241"/>
      <c r="F10" s="241"/>
      <c r="G10" s="242"/>
      <c r="H10" s="241"/>
      <c r="I10" s="257"/>
      <c r="J10" s="243" t="s">
        <v>87</v>
      </c>
      <c r="K10" s="258"/>
      <c r="L10" s="259" t="str">
        <f>UPPER(IF(OR(K10="a",K10="as"),J8,IF(OR(K10="b",K10="bs"),J12,)))</f>
        <v/>
      </c>
      <c r="M10" s="260">
        <f>IF(OR(K10="a",K10="as"),K8,IF(OR(K10="b",K10="bs"),K12,))</f>
        <v>0</v>
      </c>
      <c r="N10" s="261"/>
      <c r="O10" s="262"/>
      <c r="P10" s="231"/>
      <c r="Q10" s="232"/>
      <c r="R10" s="233"/>
      <c r="T10" s="247" t="e">
        <f>#REF!</f>
        <v>#REF!</v>
      </c>
      <c r="U10" s="180" t="str">
        <f>IF(OR(K10="a",K10="as"),$U$8,IF(OR(K10="b",K10="bs"),U12,""))</f>
        <v/>
      </c>
      <c r="V10" s="208">
        <v>4</v>
      </c>
      <c r="W10" s="263" t="str">
        <f>UPPER(IF($D13="","",VLOOKUP($D13,'[2]m glavni turnir žrebna lista'!$A$7:$R$38,3)))</f>
        <v>GRAŠIĆ DAMJAN</v>
      </c>
      <c r="X10" s="263" t="str">
        <f>PROPER(IF($D13="","",VLOOKUP($D13,'[2]m glavni turnir žrebna lista'!$A$7:$R$38,4)))</f>
        <v/>
      </c>
      <c r="Y10" s="249" t="str">
        <f t="shared" si="0"/>
        <v/>
      </c>
      <c r="Z10" s="249" t="str">
        <f>IF(Y10="","",IF(AND($Q$63=1,U12=U13),30,IF(AND($Q$63=2,U12=U13),15,IF(AND($Q$63=3,U12=U13),10,""))))</f>
        <v/>
      </c>
      <c r="AA10" s="249" t="str">
        <f>IF(Z10="","",IF(AND($Q$63=1,$U$10=U12,U12=U13),60,IF(AND($Q$63=2,$U$10=U12,U12=U13),30,IF(AND($Q$63=3,$U$10=U12,U12=U13),20,""))))</f>
        <v/>
      </c>
      <c r="AB10" s="249" t="str">
        <f>IF(AA10="","",IF(AND($Q$63=1,$U$14=$U$10,$U$10=U12,U12=U13),120,IF(AND($Q$63=2,$U$14=$U$10,$U$10=U12,U13=U12),60,IF(AND($Q$63=3,$U$14=$U$10,$U$10=U12,U13=U12),40,""))))</f>
        <v/>
      </c>
      <c r="AC10" s="249" t="str">
        <f>IF(AB10="","",IF(AND($Q$63=1,$U$13=$U$12,$U$10=$U$12,$U$10=$U$14,$U$22=$U$14),120,IF(AND($Q$63=2,$U$13=$U$12,$U$12=$U$10,$U$10=$U$14,$U$22=$U$14),60,IF(AND($Q$63=3,$U$13=$U$12,$U$12=$U$10,$U$10=$U$14,$U$22=$U$14),40,""))))</f>
        <v/>
      </c>
      <c r="AD10" s="249" t="str">
        <f>IF(AC10="","",IF(AND($Q$63=1,$U$13=$U$12,$U$10=$U$12,$U$10=$U$14,$U$22=$U$14,$U$38=$U$22),120,IF(AND($Q$63=2,$U$13=$U$12,$U$12=$U$10,$U$10=$U$14,$U$22=$U$14,$U$38=$U$22),60,IF(AND($Q$63=3,$U$13=$U$12,$U$12=$U$10,$U$10=$U$14,$U$22=$U$14,$U$38=$U$22),40,""))))</f>
        <v/>
      </c>
      <c r="AE10" s="250">
        <f t="shared" si="1"/>
        <v>0</v>
      </c>
      <c r="AF10" s="186"/>
      <c r="AG10" s="238"/>
      <c r="AH10" s="238"/>
      <c r="AI10" s="238"/>
      <c r="AJ10" s="238"/>
    </row>
    <row r="11" spans="1:36" s="234" customFormat="1" ht="9.6" customHeight="1">
      <c r="A11" s="239">
        <v>3</v>
      </c>
      <c r="B11" s="251">
        <f>IF($D11="","",VLOOKUP($D11,'[2]m glavni turnir žrebna lista'!$A$7:$R$38,17))</f>
        <v>0</v>
      </c>
      <c r="C11" s="251">
        <f>IF($D11="","",VLOOKUP($D11,'[2]m glavni turnir žrebna lista'!$A$7:$R$38,2))</f>
        <v>0</v>
      </c>
      <c r="D11" s="225">
        <v>22</v>
      </c>
      <c r="E11" s="252" t="str">
        <f>UPPER(IF($D11="","",VLOOKUP($D11,'[2]m glavni turnir žrebna lista'!$A$7:$R$38,3)))</f>
        <v>SMERKOL DAMJAN</v>
      </c>
      <c r="F11" s="252" t="str">
        <f>PROPER(IF($D11="","",VLOOKUP($D11,'[2]m glavni turnir žrebna lista'!$A$7:$R$38,4)))</f>
        <v/>
      </c>
      <c r="G11" s="252"/>
      <c r="H11" s="252">
        <f>IF($D11="","",VLOOKUP($D11,'[2]m glavni turnir žrebna lista'!$A$7:$R$38,5))</f>
        <v>0</v>
      </c>
      <c r="I11" s="226">
        <f>IF($D11="","",VLOOKUP($D11,'[2]m glavni turnir žrebna lista'!$A$7:$R$38,14))</f>
        <v>0</v>
      </c>
      <c r="J11" s="227"/>
      <c r="K11" s="264"/>
      <c r="L11" s="254"/>
      <c r="M11" s="265"/>
      <c r="N11" s="261"/>
      <c r="O11" s="262"/>
      <c r="P11" s="231"/>
      <c r="Q11" s="232"/>
      <c r="R11" s="233"/>
      <c r="T11" s="247" t="e">
        <f>#REF!</f>
        <v>#REF!</v>
      </c>
      <c r="U11" s="180">
        <f>IF($D11="","",VLOOKUP($D11,'[2]m glavni turnir žrebna lista'!$A$7:$R$38,2))</f>
        <v>0</v>
      </c>
      <c r="V11" s="208">
        <v>5</v>
      </c>
      <c r="W11" s="208" t="str">
        <f>UPPER(IF($D15="","",VLOOKUP($D15,'[2]m glavni turnir žrebna lista'!$A$7:$R$38,3)))</f>
        <v>HRIBERSKI GAŠPER</v>
      </c>
      <c r="X11" s="208" t="str">
        <f>PROPER(IF($D15="","",VLOOKUP($D15,'[2]m glavni turnir žrebna lista'!$A$7:$R$38,4)))</f>
        <v/>
      </c>
      <c r="Y11" s="209" t="str">
        <f t="shared" si="0"/>
        <v/>
      </c>
      <c r="Z11" s="209" t="str">
        <f>IF(Y11="","",IF(AND($Q$63=1,U15=U16),30,IF(AND($Q$63=2,U15=U16),15,IF(AND($Q$63=3,U15=U16),10,""))))</f>
        <v/>
      </c>
      <c r="AA11" s="209" t="str">
        <f>IF(Z11="","",IF(AND($Q$63=1,U15=U16,U16=U18),60,IF(AND($Q$63=2,U15=U16,U16=U18),30,IF(AND($Q$63=3,U15=U16,U16=U18),20,""))))</f>
        <v/>
      </c>
      <c r="AB11" s="209" t="str">
        <f>IF(AA11="","",IF(AND($Q$63=1,U15=$U$14,U15=U16,U16=U18),120,IF(AND($Q$63=2,U15=$U$14,U15=U16,U16=U18),60,IF(AND($Q$63=3,U15=$U$14,U15=U16,U16=U18),40,""))))</f>
        <v/>
      </c>
      <c r="AC11" s="209" t="str">
        <f>IF(AB11="","",IF(AND($Q$63=1,$U$15=$U$16,$U$16=$U$18,$U$18=$U$14,$U$22=$U$14),120,IF(AND($Q$63=2,$U$15=$U$16,$U$16=$U$18,$U$18=$U$14,$U$22=$U$14),60,IF(AND($Q$63=3,$U$15=$U$16,$U$16=$U$18,$U$18=$U$14,$U$22=$U$14),40,""))))</f>
        <v/>
      </c>
      <c r="AD11" s="209" t="str">
        <f>IF(AC11="","",IF(AND($Q$63=1,$U$15=$U$16,$U$16=$U$18,$U$18=$U$14,$U$22=$U$14,$U$38=$U$22),120,IF(AND($Q$63=2,$U$15=$U$16,$U$16=$U$18,$U$18=$U$14,$U$22=$U$14,$U$38=$U$22),60,IF(AND($Q$63=3,$U$15=$U$16,$U$16=$U$18,$U$18=$U$14,$U$22=$U$14,$U$38=$U$22),40,""))))</f>
        <v/>
      </c>
      <c r="AE11" s="237">
        <f t="shared" si="1"/>
        <v>0</v>
      </c>
      <c r="AF11" s="186"/>
      <c r="AG11" s="238"/>
      <c r="AH11" s="238"/>
      <c r="AI11" s="238"/>
      <c r="AJ11" s="238"/>
    </row>
    <row r="12" spans="1:36" s="234" customFormat="1" ht="9.6" customHeight="1">
      <c r="A12" s="239"/>
      <c r="B12" s="240"/>
      <c r="C12" s="240"/>
      <c r="D12" s="256"/>
      <c r="E12" s="241"/>
      <c r="F12" s="241"/>
      <c r="G12" s="242"/>
      <c r="H12" s="243" t="s">
        <v>87</v>
      </c>
      <c r="I12" s="244"/>
      <c r="J12" s="259" t="str">
        <f>UPPER(IF(OR(I12="a",I12="as"),E11,IF(OR(I12="b",I12="bs"),E13,)))</f>
        <v/>
      </c>
      <c r="K12" s="266">
        <f>IF(OR(I12="a",I12="as"),I11,IF(OR(I12="b",I12="bs"),I13,))</f>
        <v>0</v>
      </c>
      <c r="L12" s="227"/>
      <c r="M12" s="265"/>
      <c r="N12" s="261"/>
      <c r="O12" s="262"/>
      <c r="P12" s="231"/>
      <c r="Q12" s="232"/>
      <c r="R12" s="233"/>
      <c r="T12" s="247" t="e">
        <f>#REF!</f>
        <v>#REF!</v>
      </c>
      <c r="U12" s="180" t="str">
        <f>IF(OR(I12="a",I12="as"),C11,IF(OR(I12="b",I12="bs"),C13,""))</f>
        <v/>
      </c>
      <c r="V12" s="208">
        <v>6</v>
      </c>
      <c r="W12" s="263" t="str">
        <f>UPPER(IF($D17="","",VLOOKUP($D17,'[2]m glavni turnir žrebna lista'!$A$7:$R$38,3)))</f>
        <v>AMON SAMO</v>
      </c>
      <c r="X12" s="263" t="str">
        <f>PROPER(IF($D17="","",VLOOKUP($D17,'[2]m glavni turnir žrebna lista'!$A$7:$R$38,4)))</f>
        <v/>
      </c>
      <c r="Y12" s="249" t="str">
        <f t="shared" si="0"/>
        <v/>
      </c>
      <c r="Z12" s="249" t="str">
        <f>IF(Y12="","",IF(AND($Q$63=1,U16=U17),30,IF(AND($Q$63=2,U16=U17),15,IF(AND($Q$63=3,U16=U17),10,""))))</f>
        <v/>
      </c>
      <c r="AA12" s="249" t="str">
        <f>IF(Z12="","",IF(AND($Q$63=1,U16=U17,U17=U18),60,IF(AND($Q$63=2,U16=U17,U17=U18),30,IF(AND($Q$63=3,U16=U17,U17=U18),20,""))))</f>
        <v/>
      </c>
      <c r="AB12" s="249" t="str">
        <f>IF(AA12="","",IF(AND($Q$63=1,U16=$U$14,U16=U17,U17=U18),120,IF(AND($Q$63=2,U16=$U$14,U16=U17,U17=U18),60,IF(AND($Q$63=3,U16=$U$14,U16=U17,U17=U18),40,""))))</f>
        <v/>
      </c>
      <c r="AC12" s="249" t="str">
        <f>IF(AB12="","",IF(AND($Q$63=1,$U$17=$U$16,$U$16=$U$18,$U$18=$U$14,$U$22=$U$14),120,IF(AND($Q$63=2,$U$17=$U$16,$U$16=$U$18,$U$18=$U$14,$U$22=$U$14),60,IF(AND($Q$63=3,$U$17=$U$16,$U$16=$U$18,$U$18=$U$14,$U$22=$U$14),40,""))))</f>
        <v/>
      </c>
      <c r="AD12" s="249" t="str">
        <f>IF(AC12="","",IF(AND($Q$63=1,$U$17=$U$16,$U$16=$U$18,$U$18=$U$14,$U$22=$U$14,$U$38=$U$22),120,IF(AND($Q$63=2,$U$17=$U$16,$U$16=$U$18,$U$18=$U$14,$U$22=$U$14,$U$38=$U$22),60,IF(AND($Q$63=3,$U$17=$U$16,$U$16=$U$18,$U$18=$U$14,$U$22=$U$14,$U$38=$U$22),40,""))))</f>
        <v/>
      </c>
      <c r="AE12" s="250">
        <f t="shared" si="1"/>
        <v>0</v>
      </c>
      <c r="AF12" s="186"/>
      <c r="AG12" s="238"/>
      <c r="AH12" s="238"/>
      <c r="AI12" s="238"/>
      <c r="AJ12" s="238"/>
    </row>
    <row r="13" spans="1:36" s="234" customFormat="1" ht="9.6" customHeight="1">
      <c r="A13" s="239">
        <v>4</v>
      </c>
      <c r="B13" s="251">
        <f>IF($D13="","",VLOOKUP($D13,'[2]m glavni turnir žrebna lista'!$A$7:$R$38,17))</f>
        <v>0</v>
      </c>
      <c r="C13" s="251">
        <f>IF($D13="","",VLOOKUP($D13,'[2]m glavni turnir žrebna lista'!$A$7:$R$38,2))</f>
        <v>0</v>
      </c>
      <c r="D13" s="225">
        <v>12</v>
      </c>
      <c r="E13" s="252" t="str">
        <f>UPPER(IF($D13="","",VLOOKUP($D13,'[2]m glavni turnir žrebna lista'!$A$7:$R$38,3)))</f>
        <v>GRAŠIĆ DAMJAN</v>
      </c>
      <c r="F13" s="252" t="str">
        <f>PROPER(IF($D13="","",VLOOKUP($D13,'[2]m glavni turnir žrebna lista'!$A$7:$R$38,4)))</f>
        <v/>
      </c>
      <c r="G13" s="252"/>
      <c r="H13" s="252">
        <f>IF($D13="","",VLOOKUP($D13,'[2]m glavni turnir žrebna lista'!$A$7:$R$38,5))</f>
        <v>0</v>
      </c>
      <c r="I13" s="253">
        <f>IF($D13="","",VLOOKUP($D13,'[2]m glavni turnir žrebna lista'!$A$7:$R$38,14))</f>
        <v>0</v>
      </c>
      <c r="J13" s="254"/>
      <c r="K13" s="228"/>
      <c r="L13" s="227"/>
      <c r="M13" s="265"/>
      <c r="N13" s="261"/>
      <c r="O13" s="262"/>
      <c r="P13" s="231"/>
      <c r="Q13" s="232"/>
      <c r="R13" s="233"/>
      <c r="T13" s="247" t="e">
        <f>#REF!</f>
        <v>#REF!</v>
      </c>
      <c r="U13" s="180">
        <f>IF($D13="","",VLOOKUP($D13,'[2]m glavni turnir žrebna lista'!$A$7:$R$38,2))</f>
        <v>0</v>
      </c>
      <c r="V13" s="208">
        <v>7</v>
      </c>
      <c r="W13" s="208" t="str">
        <f>UPPER(IF($D19="","",VLOOKUP($D19,'[2]m glavni turnir žrebna lista'!$A$7:$R$38,3)))</f>
        <v/>
      </c>
      <c r="X13" s="208" t="str">
        <f>PROPER(IF($D19="","",VLOOKUP($D19,'[2]m glavni turnir žrebna lista'!$A$7:$R$38,4)))</f>
        <v/>
      </c>
      <c r="Y13" s="209" t="str">
        <f t="shared" si="0"/>
        <v/>
      </c>
      <c r="Z13" s="209" t="str">
        <f>IF(Y13="","",IF(AND($Q$63=1,U20=U19),30,IF(AND($Q$63=2,U20=U19),15,IF(AND($Q$63=3,U20=U19),10,""))))</f>
        <v/>
      </c>
      <c r="AA13" s="209" t="str">
        <f>IF(Z13="","",IF(AND($Q$63=1,U20=U18,U20=U19),60,IF(AND($Q$63=2,U20=U18,U20=U19),30,IF(AND($Q$63=3,U20=U18,U20=U19),20,""))))</f>
        <v/>
      </c>
      <c r="AB13" s="209" t="str">
        <f>IF(AA13="","",IF(AND($Q$63=1,U20=U19,U19=U18,U18=$U$14),120,IF(AND($Q$63=2,U20=U19,U19=U18,U18=$U$14),60,IF(AND($Q$63=3,U20=U19,U19=U18,U18=$U$14),40,""))))</f>
        <v/>
      </c>
      <c r="AC13" s="209" t="str">
        <f>IF(AB13="","",IF(AND($Q$63=1,$U$19=$U$20,$U$20=$U$18,$U$18=$U$14,$U$22=$U$14),120,IF(AND($Q$63=2,$U$19=$U$20,$U$20=$U$18,$U$18=$U$14,$U$22=$U$14),60,IF(AND($Q$63=3,$U$19=$U$20,$U$20=$U$18,$U$18=$U$14,$U$22=$U$14),40,""))))</f>
        <v/>
      </c>
      <c r="AD13" s="209" t="str">
        <f>IF(AC13="","",IF(AND($Q$63=1,$U$19=$U$20,$U$20=$U$18,$U$18=$U$14,$U$22=$U$14,$U$38=$U$22),120,IF(AND($Q$63=2,$U$19=$U$20,$U$20=$U$18,$U$18=$U$14,$U$22=$U$14,$U$38=$U$22),60,IF(AND($Q$63=3,$U$19=$U$20,$U$20=$U$18,$U$18=$U$14,$U$22=$U$14,$U$38=$U$22),40,""))))</f>
        <v/>
      </c>
      <c r="AE13" s="237">
        <f t="shared" si="1"/>
        <v>0</v>
      </c>
      <c r="AF13" s="186"/>
      <c r="AG13" s="238"/>
      <c r="AH13" s="238"/>
      <c r="AI13" s="238"/>
      <c r="AJ13" s="238"/>
    </row>
    <row r="14" spans="1:36" s="234" customFormat="1" ht="9.6" customHeight="1">
      <c r="A14" s="239"/>
      <c r="B14" s="240"/>
      <c r="C14" s="240"/>
      <c r="D14" s="256"/>
      <c r="E14" s="227"/>
      <c r="F14" s="227"/>
      <c r="G14" s="267"/>
      <c r="H14" s="268"/>
      <c r="I14" s="257"/>
      <c r="J14" s="227"/>
      <c r="K14" s="228"/>
      <c r="L14" s="243" t="s">
        <v>87</v>
      </c>
      <c r="M14" s="258"/>
      <c r="N14" s="259" t="str">
        <f>UPPER(IF(OR(M14="a",M14="as"),L10,IF(OR(M14="b",M14="bs"),L18,)))</f>
        <v/>
      </c>
      <c r="O14" s="260">
        <f>IF(OR(M14="a",M14="as"),M10,IF(OR(M14="b",M14="bs"),M18,))</f>
        <v>0</v>
      </c>
      <c r="P14" s="231"/>
      <c r="Q14" s="232"/>
      <c r="R14" s="233"/>
      <c r="T14" s="247" t="e">
        <f>#REF!</f>
        <v>#REF!</v>
      </c>
      <c r="U14" s="180" t="str">
        <f>IF(OR(M14="a",M14="as"),$U$10,IF(OR(M14="b",M14="bs"),U18,""))</f>
        <v/>
      </c>
      <c r="V14" s="208">
        <v>8</v>
      </c>
      <c r="W14" s="263" t="str">
        <f>UPPER(IF($D21="","",VLOOKUP($D21,'[2]m glavni turnir žrebna lista'!$A$7:$R$38,3)))</f>
        <v>SKVARČA SAMO</v>
      </c>
      <c r="X14" s="263" t="str">
        <f>PROPER(IF($D21="","",VLOOKUP($D21,'[2]m glavni turnir žrebna lista'!$A$7:$R$38,4)))</f>
        <v>7</v>
      </c>
      <c r="Y14" s="249" t="str">
        <f t="shared" si="0"/>
        <v/>
      </c>
      <c r="Z14" s="249" t="str">
        <f>IF(Y14="","",IF(AND($Q$63=1,U21=U20),30,IF(AND($Q$63=2,U21=U20),15,IF(AND($Q$63=3,U21=U20),10,""))))</f>
        <v/>
      </c>
      <c r="AA14" s="249" t="str">
        <f>IF(Z14="","",IF(AND($Q$63=1,U20=U18,U21=U20),60,IF(AND($Q$63=2,U20=U18,U21=U20),30,IF(AND($Q$63=3,U20=U18,U21=U20),20,""))))</f>
        <v/>
      </c>
      <c r="AB14" s="249" t="str">
        <f>IF(AA14="","",IF(AND($Q$63=1,U21=U20,U20=U18,U18=$U$14),120,IF(AND($Q$63=2,U21=U20,U20=U18,U18=$U$14),60,IF(AND($Q$63=3,U21=U20,U20=U18,U18=$U$14),40,""))))</f>
        <v/>
      </c>
      <c r="AC14" s="249" t="str">
        <f>IF(AB14="","",IF(AND($Q$63=1,$U$21=$U$20,$U$20=$U$18,$U$18=$U$14,$U$22=$U$14),120,IF(AND($Q$63=2,$U$21=$U$20,$U$20=$U$18,$U$18=$U$14,$U$22=$U$14),60,IF(AND($Q$63=3,$U$21=$U$20,$U$20=$U$18,$U$18=$U$14,$U$22=$U$14),40,""))))</f>
        <v/>
      </c>
      <c r="AD14" s="249" t="str">
        <f>IF(AC14="","",IF(AND($Q$63=1,$U$21=$U$20,$U$20=$U$18,$U$18=$U$14,$U$22=$U$14,$U$38=$U$22),120,IF(AND($Q$63=2,$U$21=$U$20,$U$20=$U$18,$U$18=$U$14,$U$22=$U$14,$U$38=$U$22),60,IF(AND($Q$63=3,$U$21=$U$20,$U$20=$U$18,$U$18=$U$14,$U$22=$U$14,$U$38=$U$22),40,""))))</f>
        <v/>
      </c>
      <c r="AE14" s="250">
        <f t="shared" si="1"/>
        <v>0</v>
      </c>
      <c r="AF14" s="186"/>
      <c r="AG14" s="238"/>
      <c r="AH14" s="238"/>
      <c r="AI14" s="238"/>
      <c r="AJ14" s="238"/>
    </row>
    <row r="15" spans="1:36" s="234" customFormat="1" ht="9.6" customHeight="1">
      <c r="A15" s="239">
        <v>5</v>
      </c>
      <c r="B15" s="251">
        <f>IF($D15="","",VLOOKUP($D15,'[2]m glavni turnir žrebna lista'!$A$7:$R$38,17))</f>
        <v>0</v>
      </c>
      <c r="C15" s="251">
        <f>IF($D15="","",VLOOKUP($D15,'[2]m glavni turnir žrebna lista'!$A$7:$R$38,2))</f>
        <v>0</v>
      </c>
      <c r="D15" s="225">
        <v>13</v>
      </c>
      <c r="E15" s="252" t="str">
        <f>UPPER(IF($D15="","",VLOOKUP($D15,'[2]m glavni turnir žrebna lista'!$A$7:$R$38,3)))</f>
        <v>HRIBERSKI GAŠPER</v>
      </c>
      <c r="F15" s="252" t="str">
        <f>PROPER(IF($D15="","",VLOOKUP($D15,'[2]m glavni turnir žrebna lista'!$A$7:$R$38,4)))</f>
        <v/>
      </c>
      <c r="G15" s="252"/>
      <c r="H15" s="252">
        <f>IF($D15="","",VLOOKUP($D15,'[2]m glavni turnir žrebna lista'!$A$7:$R$38,5))</f>
        <v>0</v>
      </c>
      <c r="I15" s="226">
        <f>IF($D15="","",VLOOKUP($D15,'[2]m glavni turnir žrebna lista'!$A$7:$R$38,14))</f>
        <v>0</v>
      </c>
      <c r="J15" s="227"/>
      <c r="K15" s="228"/>
      <c r="L15" s="227"/>
      <c r="M15" s="265"/>
      <c r="N15" s="254"/>
      <c r="O15" s="269"/>
      <c r="P15" s="229"/>
      <c r="Q15" s="230"/>
      <c r="R15" s="233"/>
      <c r="T15" s="247" t="e">
        <f>#REF!</f>
        <v>#REF!</v>
      </c>
      <c r="U15" s="180">
        <f>IF($D15="","",VLOOKUP($D15,'[2]m glavni turnir žrebna lista'!$A$7:$R$38,2))</f>
        <v>0</v>
      </c>
      <c r="V15" s="208">
        <v>9</v>
      </c>
      <c r="W15" s="208" t="str">
        <f>UPPER(IF($D23="","",VLOOKUP($D23,'[2]m glavni turnir žrebna lista'!$A$7:$R$38,3)))</f>
        <v>KADIVNIK KLEMEN</v>
      </c>
      <c r="X15" s="208" t="str">
        <f>PROPER(IF($D23="","",VLOOKUP($D23,'[2]m glavni turnir žrebna lista'!$A$7:$R$38,4)))</f>
        <v>3</v>
      </c>
      <c r="Y15" s="209" t="str">
        <f t="shared" si="0"/>
        <v/>
      </c>
      <c r="Z15" s="209" t="str">
        <f>IF(Y15="","",IF(AND($Q$63=1,U24=U23),30,IF(AND($Q$63=2,U24=U23),15,IF(AND($Q$63=3,U24=U23),10,""))))</f>
        <v/>
      </c>
      <c r="AA15" s="209" t="str">
        <f>IF(Z15="","",IF(AND($Q$63=1,U26=U24,U24=U23),60,IF(AND($Q$63=2,U26=U24,U24=U23),30,IF(AND($Q$63=3,U26=U24,U24=U23),20,""))))</f>
        <v/>
      </c>
      <c r="AB15" s="209" t="str">
        <f>IF(AA15="","",IF(AND($Q$63=1,U23=U24,U24=U26,U26=U30),120,IF(AND($Q$63=2,U23=U24,U24=U26,U26=U30),60,IF(AND($Q$63=3,U23=U24,U24=U26,U26=U30),40,""))))</f>
        <v/>
      </c>
      <c r="AC15" s="209" t="str">
        <f>IF(AB15="","",IF(AND($Q$63=1,$U$23=$U$24,$U$24=$U$26,$U$26=$U$30,$U$30=$U$22),120,IF(AND($Q$63=2,$U$23=$U$24,$U$24=$U$26,$U$26=$U$30,$U$30=$U$22),60,IF(AND($Q$63=3,$U$23=$U$24,$U$24=$U$26,$U$26=$U$30,$U$30=$U$22),40,""))))</f>
        <v/>
      </c>
      <c r="AD15" s="209" t="str">
        <f>IF(AC15="","",IF(AND($Q$63=1,$U$23=$U$24,$U$24=$U$26,$U$26=$U$30,$U$30=$U$22,$U$38=$U$22),120,IF(AND($Q$63=2,$U$23=$U$24,$U$24=$U$26,$U$26=$U$30,$U$30=$U$22,$U$38=$U$22),60,IF(AND($Q$63=3,$U$23=$U$24,$U$24=$U$26,$U$26=$U$30,$U$30=$U$22,$U$38=$U$22),40,""))))</f>
        <v/>
      </c>
      <c r="AE15" s="237">
        <f t="shared" si="1"/>
        <v>0</v>
      </c>
      <c r="AF15" s="186"/>
      <c r="AG15" s="238"/>
      <c r="AH15" s="238"/>
      <c r="AI15" s="238"/>
      <c r="AJ15" s="238"/>
    </row>
    <row r="16" spans="1:36" s="234" customFormat="1" ht="9.6" customHeight="1" thickBot="1">
      <c r="A16" s="239"/>
      <c r="B16" s="240"/>
      <c r="C16" s="240"/>
      <c r="D16" s="256"/>
      <c r="E16" s="241"/>
      <c r="F16" s="241"/>
      <c r="G16" s="242"/>
      <c r="H16" s="243" t="s">
        <v>87</v>
      </c>
      <c r="I16" s="244"/>
      <c r="J16" s="252" t="str">
        <f>UPPER(IF(OR(I16="a",I16="as"),E15,IF(OR(I16="b",I16="bs"),E17,)))</f>
        <v/>
      </c>
      <c r="K16" s="246">
        <f>IF(OR(I16="a",I16="as"),I15,IF(OR(I16="b",I16="bs"),I17,))</f>
        <v>0</v>
      </c>
      <c r="L16" s="227"/>
      <c r="M16" s="265"/>
      <c r="N16" s="229"/>
      <c r="O16" s="269"/>
      <c r="P16" s="229"/>
      <c r="Q16" s="230"/>
      <c r="R16" s="233"/>
      <c r="T16" s="270" t="e">
        <f>#REF!</f>
        <v>#REF!</v>
      </c>
      <c r="U16" s="180" t="str">
        <f>IF(OR(I16="a",I16="as"),C15,IF(OR(I16="b",I16="bs"),C17,""))</f>
        <v/>
      </c>
      <c r="V16" s="208">
        <v>10</v>
      </c>
      <c r="W16" s="263" t="str">
        <f>UPPER(IF($D25="","",VLOOKUP($D25,'[2]m glavni turnir žrebna lista'!$A$7:$R$38,3)))</f>
        <v/>
      </c>
      <c r="X16" s="263" t="str">
        <f>PROPER(IF($D25="","",VLOOKUP($D25,'[2]m glavni turnir žrebna lista'!$A$7:$R$38,4)))</f>
        <v/>
      </c>
      <c r="Y16" s="249" t="str">
        <f t="shared" si="0"/>
        <v/>
      </c>
      <c r="Z16" s="249" t="str">
        <f>IF(Y16="","",IF(AND($Q$63=1,U25=U24),30,IF(AND($Q$63=2,U25=U24),15,IF(AND($Q$63=3,U25=U24),10,""))))</f>
        <v/>
      </c>
      <c r="AA16" s="249" t="str">
        <f>IF(Z16="","",IF(AND($Q$63=1,U26=U25,U25=U24),60,IF(AND($Q$63=2,U26=U25,U25=U24),30,IF(AND($Q$63=3,U26=U25,U25=U24),20,""))))</f>
        <v/>
      </c>
      <c r="AB16" s="249" t="str">
        <f>IF(AA16="","",IF(AND($Q$63=1,U24=U25,U25=U26,U26=U30),120,IF(AND($Q$63=2,U24=U25,U25=U26,U26=U30),60,IF(AND($Q$63=3,U24=U25,U25=U26,U26=U30),40,""))))</f>
        <v/>
      </c>
      <c r="AC16" s="249" t="str">
        <f>IF(AB16="","",IF(AND($Q$63=1,$U$25=$U$24,$U$24=$U$26,$U$26=$U$30,$U$30=$U$22),120,IF(AND($Q$63=2,$U$25=$U$24,$U$24=$U$26,$U$26=$U$30,$U$30=$U$22),60,IF(AND($Q$63=3,$U$25=$U$24,$U$24=$U$26,$U$26=$U$30,$U$30=$U$22),40,""))))</f>
        <v/>
      </c>
      <c r="AD16" s="249" t="str">
        <f>IF(AC16="","",IF(AND($Q$63=1,$U$25=$U$24,$U$24=$U$26,$U$26=$U$30,$U$30=$U$22,$U$38=$U$22),120,IF(AND($Q$63=2,$U$25=$U$24,$U$24=$U$26,$U$26=$U$30,$U$30=$U$22,$U$38=$U$22),60,IF(AND($Q$63=3,$U$25=$U$24,$U$24=$U$26,$U$26=$U$30,$U$30=$U$22,$U$38=$U$22),40,""))))</f>
        <v/>
      </c>
      <c r="AE16" s="250">
        <f t="shared" si="1"/>
        <v>0</v>
      </c>
      <c r="AF16" s="186"/>
      <c r="AG16" s="238"/>
      <c r="AH16" s="238"/>
      <c r="AI16" s="238"/>
      <c r="AJ16" s="238"/>
    </row>
    <row r="17" spans="1:36" s="234" customFormat="1" ht="9.6" customHeight="1">
      <c r="A17" s="239">
        <v>6</v>
      </c>
      <c r="B17" s="251">
        <f>IF($D17="","",VLOOKUP($D17,'[2]m glavni turnir žrebna lista'!$A$7:$R$38,17))</f>
        <v>0</v>
      </c>
      <c r="C17" s="251">
        <f>IF($D17="","",VLOOKUP($D17,'[2]m glavni turnir žrebna lista'!$A$7:$R$38,2))</f>
        <v>0</v>
      </c>
      <c r="D17" s="225">
        <v>10</v>
      </c>
      <c r="E17" s="252" t="str">
        <f>UPPER(IF($D17="","",VLOOKUP($D17,'[2]m glavni turnir žrebna lista'!$A$7:$R$38,3)))</f>
        <v>AMON SAMO</v>
      </c>
      <c r="F17" s="252" t="str">
        <f>PROPER(IF($D17="","",VLOOKUP($D17,'[2]m glavni turnir žrebna lista'!$A$7:$R$38,4)))</f>
        <v/>
      </c>
      <c r="G17" s="252"/>
      <c r="H17" s="252">
        <f>IF($D17="","",VLOOKUP($D17,'[2]m glavni turnir žrebna lista'!$A$7:$R$38,5))</f>
        <v>0</v>
      </c>
      <c r="I17" s="253">
        <f>IF($D17="","",VLOOKUP($D17,'[2]m glavni turnir žrebna lista'!$A$7:$R$38,14))</f>
        <v>0</v>
      </c>
      <c r="J17" s="254"/>
      <c r="K17" s="255"/>
      <c r="L17" s="227"/>
      <c r="M17" s="265"/>
      <c r="N17" s="229"/>
      <c r="O17" s="269"/>
      <c r="P17" s="229"/>
      <c r="Q17" s="230"/>
      <c r="R17" s="233"/>
      <c r="U17" s="180">
        <f>IF($D17="","",VLOOKUP($D17,'[2]m glavni turnir žrebna lista'!$A$7:$R$38,2))</f>
        <v>0</v>
      </c>
      <c r="V17" s="208">
        <v>11</v>
      </c>
      <c r="W17" s="208" t="str">
        <f>UPPER(IF($D27="","",VLOOKUP($D27,'[2]m glavni turnir žrebna lista'!$A$7:$R$38,3)))</f>
        <v>TURUK MARKO</v>
      </c>
      <c r="X17" s="208" t="str">
        <f>PROPER(IF($D27="","",VLOOKUP($D27,'[2]m glavni turnir žrebna lista'!$A$7:$R$38,4)))</f>
        <v/>
      </c>
      <c r="Y17" s="209" t="str">
        <f t="shared" si="0"/>
        <v/>
      </c>
      <c r="Z17" s="209" t="str">
        <f>IF(Y17="","",IF(AND($Q$63=1,U28=U27),30,IF(AND($Q$63=2,U28=U27),15,IF(AND($Q$63=3,U28=U27),10,""))))</f>
        <v/>
      </c>
      <c r="AA17" s="209" t="str">
        <f>IF(Z17="","",IF(AND($Q$63=1,U27=U26,U26=U28),60,IF(AND($Q$63=2,U27=U26,U26=U28),30,IF(AND($Q$63=3,U27=U26,U26=U28),20,""))))</f>
        <v/>
      </c>
      <c r="AB17" s="209" t="str">
        <f>IF(AA17="","",IF(AND($Q$63=1,U28=U27,U26=U27,U28=U30),120,IF(AND($Q$63=2,U28=U27,U26=U27,U28=U30),60,IF(AND($Q$63=3,U28=U26,U26=U27,U28=U30),40,""))))</f>
        <v/>
      </c>
      <c r="AC17" s="209" t="str">
        <f>IF(AB17="","",IF(AND($Q$63=1,$U$27=$U$28,$U$28=$U$26,$U$26=$U$30,$U$30=$U$22),120,IF(AND($Q$63=2,$U$27=$U$28,$U$28=$U$26,$U$26=$U$30,$U$30=$U$22),60,IF(AND($Q$63=3,$U$27=$U$28,$U$28=$U$26,$U$26=$U$30,$U$30=$U$22),40,""))))</f>
        <v/>
      </c>
      <c r="AD17" s="209" t="str">
        <f>IF(AC17="","",IF(AND($Q$63=1,$U$27=$U$28,$U$28=$U$26,$U$26=$U$30,$U$30=$U$22,$U$38=$U$22),120,IF(AND($Q$63=2,$U$27=$U$28,$U$28=$U$26,$U$26=$U$30,$U$30=$U$22,$U$38=$U$22),60,IF(AND($Q$63=3,$U$27=$U$28,$U$28=$U$26,$U$26=$U$30,$U$30=$U$22,$U$38=$U$22),40,""))))</f>
        <v/>
      </c>
      <c r="AE17" s="237">
        <f t="shared" si="1"/>
        <v>0</v>
      </c>
      <c r="AF17" s="186"/>
      <c r="AG17" s="238"/>
      <c r="AH17" s="238"/>
      <c r="AI17" s="238"/>
      <c r="AJ17" s="238"/>
    </row>
    <row r="18" spans="1:36" s="234" customFormat="1" ht="9.6" customHeight="1">
      <c r="A18" s="239"/>
      <c r="B18" s="240"/>
      <c r="C18" s="240"/>
      <c r="D18" s="256"/>
      <c r="E18" s="241"/>
      <c r="F18" s="241"/>
      <c r="G18" s="242"/>
      <c r="H18" s="227"/>
      <c r="I18" s="257"/>
      <c r="J18" s="243" t="s">
        <v>87</v>
      </c>
      <c r="K18" s="258"/>
      <c r="L18" s="259" t="str">
        <f>UPPER(IF(OR(K18="a",K18="as"),J16,IF(OR(K18="b",K18="bs"),J20,)))</f>
        <v/>
      </c>
      <c r="M18" s="271">
        <f>IF(OR(K18="a",K18="as"),K16,IF(OR(K18="b",K18="bs"),K20,))</f>
        <v>0</v>
      </c>
      <c r="N18" s="229"/>
      <c r="O18" s="269"/>
      <c r="P18" s="229"/>
      <c r="Q18" s="230"/>
      <c r="R18" s="233"/>
      <c r="U18" s="180" t="str">
        <f>IF(OR(K18="a",K18="as"),U16,IF(OR(K18="b",K18="bs"),U20,""))</f>
        <v/>
      </c>
      <c r="V18" s="208">
        <v>12</v>
      </c>
      <c r="W18" s="263" t="str">
        <f>UPPER(IF($D29="","",VLOOKUP($D29,'[2]m glavni turnir žrebna lista'!$A$7:$R$38,3)))</f>
        <v>MAGAJNE TONI</v>
      </c>
      <c r="X18" s="263" t="str">
        <f>PROPER(IF($D29="","",VLOOKUP($D29,'[2]m glavni turnir žrebna lista'!$A$7:$R$38,4)))</f>
        <v/>
      </c>
      <c r="Y18" s="249" t="str">
        <f t="shared" si="0"/>
        <v/>
      </c>
      <c r="Z18" s="249" t="str">
        <f>IF(Y18="","",IF(AND($Q$63=1,U29=U28),30,IF(AND($Q$63=2,U29=U28),15,IF(AND($Q$63=3,U29=U28),10,""))))</f>
        <v/>
      </c>
      <c r="AA18" s="249" t="str">
        <f>IF(Z18="","",IF(AND($Q$63=1,U28=U26,U28=U29),60,IF(AND($Q$63=2,U28=U26,U26=U29),30,IF(AND($Q$63=3,U28=U26,U26=U29),20,""))))</f>
        <v/>
      </c>
      <c r="AB18" s="249" t="str">
        <f>IF(AA18="","",IF(AND($Q$63=1,U29=U28,U26=U28,U29=U30),120,IF(AND($Q$63=2,U29=U28,U26=U28,U29=U30),60,IF(AND($Q$63=3,U29=U26,U26=U28,U29=U30),40,""))))</f>
        <v/>
      </c>
      <c r="AC18" s="249" t="str">
        <f>IF(AB18="","",IF(AND($Q$63=1,$U$29=$U$28,$U$28=$U$26,$U$26=$U$30,$U$30=$U$22),120,IF(AND($Q$63=2,$U$29=$U$28,$U$28=$U$26,$U$26=$U$30,$U$30=$U$22),60,IF(AND($Q$63=3,$U$29=$U$28,$U$28=$U$26,$U$26=$U$30,$U$30=$U$22),40,""))))</f>
        <v/>
      </c>
      <c r="AD18" s="249" t="str">
        <f>IF(AC18="","",IF(AND($Q$63=1,$U$29=$U$28,$U$28=$U$26,$U$26=$U$30,$U$30=$U$22,$U$38=$U$22),120,IF(AND($Q$63=2,$U$29=$U$28,$U$28=$U$26,$U$26=$U$30,$U$30=$U$22,$U$38=$U$22),60,IF(AND($Q$63=3,$U$29=$U$28,$U$28=$U$26,$U$26=$U$30,$U$30=$U$22,$U$38=$U$22),40,""))))</f>
        <v/>
      </c>
      <c r="AE18" s="250">
        <f t="shared" si="1"/>
        <v>0</v>
      </c>
      <c r="AF18" s="186"/>
      <c r="AG18" s="238"/>
      <c r="AH18" s="238"/>
      <c r="AI18" s="238"/>
      <c r="AJ18" s="238"/>
    </row>
    <row r="19" spans="1:36" s="234" customFormat="1" ht="9.6" customHeight="1">
      <c r="A19" s="239">
        <v>7</v>
      </c>
      <c r="B19" s="251" t="str">
        <f>IF($D19="","",VLOOKUP($D19,'[2]m glavni turnir žrebna lista'!$A$7:$R$38,17))</f>
        <v/>
      </c>
      <c r="C19" s="251" t="str">
        <f>IF($D19="","",VLOOKUP($D19,'[2]m glavni turnir žrebna lista'!$A$7:$R$38,2))</f>
        <v/>
      </c>
      <c r="D19" s="225"/>
      <c r="E19" s="252" t="s">
        <v>3</v>
      </c>
      <c r="F19" s="252" t="str">
        <f>PROPER(IF($D19="","",VLOOKUP($D19,'[2]m glavni turnir žrebna lista'!$A$7:$R$38,4)))</f>
        <v/>
      </c>
      <c r="G19" s="252"/>
      <c r="H19" s="252" t="str">
        <f>IF($D19="","",VLOOKUP($D19,'[2]m glavni turnir žrebna lista'!$A$7:$R$38,5))</f>
        <v/>
      </c>
      <c r="I19" s="226" t="str">
        <f>IF($D19="","",VLOOKUP($D19,'[2]m glavni turnir žrebna lista'!$A$7:$R$38,14))</f>
        <v/>
      </c>
      <c r="J19" s="227"/>
      <c r="K19" s="264"/>
      <c r="L19" s="254"/>
      <c r="M19" s="262"/>
      <c r="N19" s="229"/>
      <c r="O19" s="269"/>
      <c r="P19" s="229"/>
      <c r="Q19" s="230"/>
      <c r="R19" s="233"/>
      <c r="U19" s="180" t="str">
        <f>IF($D19="","",VLOOKUP($D19,'[2]m glavni turnir žrebna lista'!$A$7:$R$38,2))</f>
        <v/>
      </c>
      <c r="V19" s="208">
        <v>13</v>
      </c>
      <c r="W19" s="208" t="str">
        <f>UPPER(IF($D31="","",VLOOKUP($D31,'[2]m glavni turnir žrebna lista'!$A$7:$R$38,3)))</f>
        <v>AGREŽ TADEJ</v>
      </c>
      <c r="X19" s="208" t="str">
        <f>PROPER(IF($D31="","",VLOOKUP($D31,'[2]m glavni turnir žrebna lista'!$A$7:$R$38,4)))</f>
        <v/>
      </c>
      <c r="Y19" s="209" t="str">
        <f t="shared" si="0"/>
        <v/>
      </c>
      <c r="Z19" s="209" t="str">
        <f>IF(Y19="","",IF(AND($Q$63=1,U32=U31),30,IF(AND($Q$63=2,U32=U31),15,IF(AND($Q$63=3,U32=U31),10,""))))</f>
        <v/>
      </c>
      <c r="AA19" s="209" t="str">
        <f>IF(Z19="","",IF(AND($Q$63=1,U34=U32,U32=U31),60,IF(AND($Q$63=2,U34=U32,U32=U31),30,IF(AND($Q$63=3,U34=U32,U32=U31),20,""))))</f>
        <v/>
      </c>
      <c r="AB19" s="209" t="str">
        <f>IF(AA19="","",IF(AND($Q$63=1,U31=U32,U32=U34,U30=U34),120,IF(AND($Q$63=2,U31=U32,U32=U34,U30=U34),60,IF(AND($Q$63=3,U31=U32,U32=U34,U30=U34),40,""))))</f>
        <v/>
      </c>
      <c r="AC19" s="209" t="str">
        <f>IF(AB19="","",IF(AND($Q$63=1,$U$31=$U$32,$U$32=$U$34,$U$34=$U$30,$U$30=$U$22),120,IF(AND($Q$63=2,$U$31=$U$32,$U$32=$U$34,$U$34=$U$30,$U$30=$U$22),60,IF(AND($Q$63=3,$U$31=$U$32,$U$32=$U$34,$U$34=$U$30,$U$30=$U$22),40,""))))</f>
        <v/>
      </c>
      <c r="AD19" s="209" t="str">
        <f>IF(AC19="","",IF(AND($Q$63=1,$U$31=$U$32,$U$32=$U$34,$U$34=$U$30,$U$30=$U$22,$U$38=$U$22),120,IF(AND($Q$63=2,$U$31=$U$32,$U$32=$U$34,$U$34=$U$30,$U$30=$U$22,$U$38=$U$22),60,IF(AND($Q$63=3,$U$31=$U$32,$U$32=$U$34,$U$34=$U$30,$U$30=$U$22,$U$38=$U$22),40,""))))</f>
        <v/>
      </c>
      <c r="AE19" s="237">
        <f t="shared" si="1"/>
        <v>0</v>
      </c>
      <c r="AF19" s="186"/>
      <c r="AG19" s="238"/>
      <c r="AH19" s="238"/>
      <c r="AI19" s="238"/>
      <c r="AJ19" s="238"/>
    </row>
    <row r="20" spans="1:36" s="234" customFormat="1" ht="9.6" customHeight="1">
      <c r="A20" s="239"/>
      <c r="B20" s="240"/>
      <c r="C20" s="240"/>
      <c r="D20" s="240"/>
      <c r="E20" s="241"/>
      <c r="F20" s="241"/>
      <c r="G20" s="242"/>
      <c r="H20" s="243" t="s">
        <v>87</v>
      </c>
      <c r="I20" s="244"/>
      <c r="J20" s="245" t="s">
        <v>122</v>
      </c>
      <c r="K20" s="272">
        <f>IF(OR(I20="a",I20="as"),I19,IF(OR(I20="b",I20="bs"),I21,))</f>
        <v>0</v>
      </c>
      <c r="L20" s="227"/>
      <c r="M20" s="262"/>
      <c r="N20" s="229"/>
      <c r="O20" s="269"/>
      <c r="P20" s="229"/>
      <c r="Q20" s="230"/>
      <c r="R20" s="233"/>
      <c r="U20" s="180" t="str">
        <f>IF(OR(I20="a",I20="as"),C19,IF(OR(I20="b",I20="bs"),C21,""))</f>
        <v/>
      </c>
      <c r="V20" s="208">
        <v>14</v>
      </c>
      <c r="W20" s="263" t="str">
        <f>UPPER(IF($D33="","",VLOOKUP($D33,'[2]m glavni turnir žrebna lista'!$A$7:$R$38,3)))</f>
        <v>BIZJAK TOMAŽ</v>
      </c>
      <c r="X20" s="263" t="str">
        <f>PROPER(IF($D33="","",VLOOKUP($D33,'[2]m glavni turnir žrebna lista'!$A$7:$R$38,4)))</f>
        <v/>
      </c>
      <c r="Y20" s="249" t="str">
        <f t="shared" si="0"/>
        <v/>
      </c>
      <c r="Z20" s="249" t="str">
        <f>IF(Y20="","",IF(AND($Q$63=1,U33=U32),30,IF(AND($Q$63=2,U33=U32),15,IF(AND($Q$63=3,U33=U32),10,""))))</f>
        <v/>
      </c>
      <c r="AA20" s="249" t="str">
        <f>IF(Z20="","",IF(AND($Q$63=1,U34=U33,U33=U32),60,IF(AND($Q$63=2,U34=U33,U33=U32),30,IF(AND($Q$63=3,U34=U33,U33=U32),20,""))))</f>
        <v/>
      </c>
      <c r="AB20" s="249" t="str">
        <f>IF(AA20="","",IF(AND($Q$63=1,U32=U33,U33=U30,U30=U34),120,IF(AND($Q$63=2,U32=U33,U33=U30,U30=U34),60,IF(AND($Q$63=3,U32=U33,U33=U30,U30=U34),40,""))))</f>
        <v/>
      </c>
      <c r="AC20" s="249" t="str">
        <f>IF(AB20="","",IF(AND($Q$63=1,$U$33=$U$32,$U$32=$U$34,$U$34=$U$30,$U$30=$U$22),120,IF(AND($Q$63=2,$U$33=$U$32,$U$32=$U$34,$U$34=$U$30,$U$30=$U$22),60,IF(AND($Q$63=3,$U$33=$U$32,$U$32=$U$34,$U$34=$U$30,$U$30=$U$22),40,""))))</f>
        <v/>
      </c>
      <c r="AD20" s="249" t="str">
        <f>IF(AC20="","",IF(AND($Q$63=1,$U$33=$U$32,$U$32=$U$34,$U$34=$U$30,$U$30=$U$22,$U$38=$U$22),120,IF(AND($Q$63=2,$U$33=$U$32,$U$32=$U$34,$U$34=$U$30,$U$30=$U$22,$U$38=$U$22),60,IF(AND($Q$63=3,$U$33=$U$32,$U$32=$U$34,$U$34=$U$30,$U$30=$U$22,$U$38=$U$22),40,""))))</f>
        <v/>
      </c>
      <c r="AE20" s="250">
        <f t="shared" si="1"/>
        <v>0</v>
      </c>
      <c r="AF20" s="186"/>
      <c r="AG20" s="238"/>
      <c r="AH20" s="238"/>
      <c r="AI20" s="238"/>
      <c r="AJ20" s="238"/>
    </row>
    <row r="21" spans="1:36" s="234" customFormat="1" ht="9.6" customHeight="1">
      <c r="A21" s="223">
        <v>8</v>
      </c>
      <c r="B21" s="224">
        <f>IF($D21="","",VLOOKUP($D21,'[2]m glavni turnir žrebna lista'!$A$7:$R$38,17))</f>
        <v>0</v>
      </c>
      <c r="C21" s="224">
        <f>IF($D21="","",VLOOKUP($D21,'[2]m glavni turnir žrebna lista'!$A$7:$R$38,2))</f>
        <v>0</v>
      </c>
      <c r="D21" s="225">
        <v>7</v>
      </c>
      <c r="E21" s="224" t="str">
        <f>UPPER(IF($D21="","",VLOOKUP($D21,'[2]m glavni turnir žrebna lista'!$A$7:$R$38,3)))</f>
        <v>SKVARČA SAMO</v>
      </c>
      <c r="F21" s="224" t="str">
        <f>PROPER(IF($D21="","",VLOOKUP($D21,'[2]m glavni turnir žrebna lista'!$A$7:$R$38,4)))</f>
        <v>7</v>
      </c>
      <c r="G21" s="224"/>
      <c r="H21" s="224">
        <f>IF($D21="","",VLOOKUP($D21,'[2]m glavni turnir žrebna lista'!$A$7:$R$38,5))</f>
        <v>0</v>
      </c>
      <c r="I21" s="253">
        <f>IF($D21="","",VLOOKUP($D21,'[2]m glavni turnir žrebna lista'!$A$7:$R$38,14))</f>
        <v>0</v>
      </c>
      <c r="J21" s="254"/>
      <c r="K21" s="228"/>
      <c r="L21" s="227"/>
      <c r="M21" s="262"/>
      <c r="N21" s="229"/>
      <c r="O21" s="269"/>
      <c r="P21" s="229"/>
      <c r="Q21" s="230"/>
      <c r="R21" s="233"/>
      <c r="U21" s="180">
        <f>IF($D21="","",VLOOKUP($D21,'[2]m glavni turnir žrebna lista'!$A$7:$R$38,2))</f>
        <v>0</v>
      </c>
      <c r="V21" s="208">
        <v>15</v>
      </c>
      <c r="W21" s="208" t="str">
        <f>UPPER(IF($D35="","",VLOOKUP($D35,'[2]m glavni turnir žrebna lista'!$A$7:$R$38,3)))</f>
        <v/>
      </c>
      <c r="X21" s="208" t="str">
        <f>PROPER(IF($D35="","",VLOOKUP($D35,'[2]m glavni turnir žrebna lista'!$A$7:$R$38,4)))</f>
        <v/>
      </c>
      <c r="Y21" s="209" t="str">
        <f t="shared" si="0"/>
        <v/>
      </c>
      <c r="Z21" s="209" t="str">
        <f>IF(Y21="","",IF(AND($Q$63=1,U36=U35),30,IF(AND($Q$63=2,U36=U35),15,IF(AND($Q$63=3,U36=U35),10,""))))</f>
        <v/>
      </c>
      <c r="AA21" s="209" t="str">
        <f>IF(Z21="","",IF(AND($Q$63=1,U35=U34,U34=U36),60,IF(AND($Q$63=2,U35=U34,U34=U36),30,IF(AND($Q$63=3,U35=U34,U34=U36),20,""))))</f>
        <v/>
      </c>
      <c r="AB21" s="209" t="str">
        <f>IF(AA21="","",IF(AND($Q$63=1,U30=U34,U34=U35,U35=U36),120,IF(AND($Q$63=2,U30=U34,U34=U35,U35=U36),60,IF(AND($Q$63=3,U30=U34,U34=U35,U35=U36),40,""))))</f>
        <v/>
      </c>
      <c r="AC21" s="209" t="str">
        <f>IF(AB21="","",IF(AND($Q$63=1,$U$35=$U$36,$U$36=$U$34,$U$34=$U$30,$U$30=$U$22),120,IF(AND($Q$63=2,$U$35=$U$36,$U$36=$U$34,$U$34=$U$30,$U$30=$U$22),60,IF(AND($Q$63=3,$U$35=$U$36,$U$36=$U$34,$U$34=$U$30,$U$30=$U$22),40,""))))</f>
        <v/>
      </c>
      <c r="AD21" s="209" t="str">
        <f>IF(AC21="","",IF(AND($Q$63=1,$U$35=$U$36,$U$36=$U$34,$U$34=$U$30,$U$30=$U$22,$U$38=$U$22),120,IF(AND($Q$63=2,$U$35=$U$36,$U$36=$U$34,$U$34=$U$30,$U$30=$U$22,$U$38=$U$22),60,IF(AND($Q$63=3,$U$35=$U$36,$U$36=$U$34,$U$34=$U$30,$U$30=$U$22,$U$38=$U$22),40,""))))</f>
        <v/>
      </c>
      <c r="AE21" s="237">
        <f t="shared" si="1"/>
        <v>0</v>
      </c>
      <c r="AF21" s="186"/>
      <c r="AG21" s="238"/>
      <c r="AH21" s="238"/>
      <c r="AI21" s="238"/>
      <c r="AJ21" s="238"/>
    </row>
    <row r="22" spans="1:36" s="234" customFormat="1" ht="9.6" customHeight="1">
      <c r="A22" s="239"/>
      <c r="B22" s="240"/>
      <c r="C22" s="240"/>
      <c r="D22" s="240"/>
      <c r="E22" s="268"/>
      <c r="F22" s="268"/>
      <c r="G22" s="273"/>
      <c r="H22" s="268"/>
      <c r="I22" s="257"/>
      <c r="J22" s="227"/>
      <c r="K22" s="228"/>
      <c r="L22" s="227"/>
      <c r="M22" s="262"/>
      <c r="N22" s="243" t="s">
        <v>87</v>
      </c>
      <c r="O22" s="258"/>
      <c r="P22" s="259" t="str">
        <f>UPPER(IF(OR(O22="a",O22="as"),N14,IF(OR(O22="b",O22="bs"),N30,)))</f>
        <v/>
      </c>
      <c r="Q22" s="274">
        <f>IF(OR(O22="a",O22="as"),O14,IF(OR(O22="b",O22="bs"),O30,))</f>
        <v>0</v>
      </c>
      <c r="R22" s="233"/>
      <c r="U22" s="180" t="str">
        <f>IF(OR(O22="a",O22="as"),$U$14,IF(OR(O22="b",O22="bs"),U30,""))</f>
        <v/>
      </c>
      <c r="V22" s="208">
        <v>16</v>
      </c>
      <c r="W22" s="263" t="str">
        <f>UPPER(IF($D37="","",VLOOKUP($D37,'[2]m glavni turnir žrebna lista'!$A$7:$R$38,3)))</f>
        <v>LOPATIČ MARKO</v>
      </c>
      <c r="X22" s="263" t="str">
        <f>PROPER(IF($D37="","",VLOOKUP($D37,'[2]m glavni turnir žrebna lista'!$A$7:$R$38,4)))</f>
        <v>5</v>
      </c>
      <c r="Y22" s="249" t="str">
        <f t="shared" si="0"/>
        <v/>
      </c>
      <c r="Z22" s="249" t="str">
        <f>IF(Y22="","",IF(AND($Q$63=1,U37=U36),30,IF(AND($Q$63=2,U37=U36),15,IF(AND($Q$63=3,U37=U36),10,""))))</f>
        <v/>
      </c>
      <c r="AA22" s="249" t="str">
        <f>IF(Z22="","",IF(AND($Q$63=1,U36=U34,U34=U37),60,IF(AND($Q$63=2,U36=U34,U34=U37),30,IF(AND($Q$63=3,U36=U34,U34=U37),20,""))))</f>
        <v/>
      </c>
      <c r="AB22" s="249" t="str">
        <f>IF(AA22="","",IF(AND($Q$63=1,U30=U34,U34=U36,U36=U37),120,IF(AND($Q$63=2,U30=U34,U34=U36,U36=U37),60,IF(AND($Q$63=3,U30=U34,U34=U36,U36=U37),40,""))))</f>
        <v/>
      </c>
      <c r="AC22" s="249" t="str">
        <f>IF(AB22="","",IF(AND($Q$63=1,$U$37=$U$36,$U$36=$U$34,$U$34=$U$30,$U$30=$U$22),120,IF(AND($Q$63=2,$U$37=$U$36,$U$36=$U$34,$U$34=$U$30,$U$30=$U$22),60,IF(AND($Q$63=3,$U$37=$U$36,$U$36=$U$34,$U$34=$U$30,$U$30=$U$22),40,""))))</f>
        <v/>
      </c>
      <c r="AD22" s="249" t="str">
        <f>IF(AC22="","",IF(AND($Q$63=1,$U$37=$U$36,$U$36=$U$34,$U$34=$U$30,$U$30=$U$22,$U$38=$U$22),120,IF(AND($Q$63=2,$U$37=$U$36,$U$36=$U$34,$U$34=$U$30,$U$30=$U$22,$U$38=$U$22),60,IF(AND($Q$63=3,$U$37=$U$36,$U$36=$U$34,$U$34=$U$30,$U$30=$U$22,$U$38=$U$22),40,""))))</f>
        <v/>
      </c>
      <c r="AE22" s="250">
        <f t="shared" si="1"/>
        <v>0</v>
      </c>
      <c r="AF22" s="186"/>
      <c r="AG22" s="238"/>
      <c r="AH22" s="238"/>
      <c r="AI22" s="238"/>
      <c r="AJ22" s="238"/>
    </row>
    <row r="23" spans="1:36" s="234" customFormat="1" ht="9.6" customHeight="1">
      <c r="A23" s="223">
        <v>9</v>
      </c>
      <c r="B23" s="224">
        <f>IF($D23="","",VLOOKUP($D23,'[2]m glavni turnir žrebna lista'!$A$7:$R$38,17))</f>
        <v>0</v>
      </c>
      <c r="C23" s="224">
        <f>IF($D23="","",VLOOKUP($D23,'[2]m glavni turnir žrebna lista'!$A$7:$R$38,2))</f>
        <v>0</v>
      </c>
      <c r="D23" s="225">
        <v>3</v>
      </c>
      <c r="E23" s="224" t="str">
        <f>UPPER(IF($D23="","",VLOOKUP($D23,'[2]m glavni turnir žrebna lista'!$A$7:$R$38,3)))</f>
        <v>KADIVNIK KLEMEN</v>
      </c>
      <c r="F23" s="224" t="str">
        <f>PROPER(IF($D23="","",VLOOKUP($D23,'[2]m glavni turnir žrebna lista'!$A$7:$R$38,4)))</f>
        <v>3</v>
      </c>
      <c r="G23" s="224"/>
      <c r="H23" s="224">
        <f>IF($D23="","",VLOOKUP($D23,'[2]m glavni turnir žrebna lista'!$A$7:$R$38,5))</f>
        <v>0</v>
      </c>
      <c r="I23" s="226">
        <f>IF($D23="","",VLOOKUP($D23,'[2]m glavni turnir žrebna lista'!$A$7:$R$38,14))</f>
        <v>0</v>
      </c>
      <c r="J23" s="227"/>
      <c r="K23" s="228"/>
      <c r="L23" s="227"/>
      <c r="M23" s="262"/>
      <c r="N23" s="229"/>
      <c r="O23" s="269"/>
      <c r="P23" s="254"/>
      <c r="Q23" s="269"/>
      <c r="R23" s="233"/>
      <c r="U23" s="180">
        <f>IF($D23="","",VLOOKUP($D23,'[2]m glavni turnir žrebna lista'!$A$7:$R$38,2))</f>
        <v>0</v>
      </c>
      <c r="V23" s="208">
        <v>17</v>
      </c>
      <c r="W23" s="208" t="str">
        <f>UPPER(IF($D39="","",VLOOKUP($D39,'[2]m glavni turnir žrebna lista'!$A$7:$R$38,3)))</f>
        <v>OMANOVIĆ ELVIN</v>
      </c>
      <c r="X23" s="208" t="str">
        <f>PROPER(IF($D39="","",VLOOKUP($D39,'[2]m glavni turnir žrebna lista'!$A$7:$R$38,4)))</f>
        <v>6</v>
      </c>
      <c r="Y23" s="209" t="str">
        <f t="shared" si="0"/>
        <v/>
      </c>
      <c r="Z23" s="209" t="str">
        <f>IF(Y23="","",IF(AND($Q$63=1,U40=U39),30,IF(AND($Q$63=2,U40=U39),15,IF(AND($Q$63=3,U40=U39),10,""))))</f>
        <v/>
      </c>
      <c r="AA23" s="209" t="str">
        <f>IF(Z23="","",IF(AND($Q$63=1,U39=U40,U40=U42),60,IF(AND($Q$63=2,U39=U40,U40=U42),30,IF(AND($Q$63=3,U39=U40,U40=U42),20,""))))</f>
        <v/>
      </c>
      <c r="AB23" s="209" t="str">
        <f>IF(AA23="","",IF(AND($Q$63=1,U46=U42,U42=U40,U40=U39),120,IF(AND($Q$63=2,U46=U42,U42=U40,U40=U39),60,IF(AND($Q$63=3,U46=U42,U42=U40,U40=U39),40,""))))</f>
        <v/>
      </c>
      <c r="AC23" s="209" t="str">
        <f>IF(AB23="","",IF(AND($Q$63=1,$U$39=$U$40,$U$40=$U$42,$U$42=$U$46,$U$46=$U$54),120,IF(AND($Q$63=2,$U$39=$U$40,$U$40=$U$42,$U$42=$U$46,$U$46=$U$54),60,IF(AND($Q$63=3,$U$39=$U$40,$U$40=$U$42,$U$42=$U$46,$U$46=$U$54),40,""))))</f>
        <v/>
      </c>
      <c r="AD23" s="209" t="str">
        <f>IF(AC23="","",IF(AND($Q$63=1,$U$39=$U$40,$U$40=$U$42,$U$42=$U$46,$U$46=$U$54,$U$38=$U$54),120,IF(AND($Q$63=2,$U$39=$U$40,$U$40=$U$42,$U$42=$U$46,$U$46=$U$54,$U$38=$U$54),60,IF(AND($Q$63=3,$U$39=$U$40,$U$40=$U$42,$U$42=$U$46,$U$46=$U$54,$U$38=$U$54),40,""))))</f>
        <v/>
      </c>
      <c r="AE23" s="237">
        <f t="shared" si="1"/>
        <v>0</v>
      </c>
      <c r="AF23" s="186"/>
      <c r="AG23" s="238"/>
      <c r="AH23" s="238"/>
      <c r="AI23" s="238"/>
      <c r="AJ23" s="238"/>
    </row>
    <row r="24" spans="1:36" s="234" customFormat="1" ht="9.6" customHeight="1">
      <c r="A24" s="239"/>
      <c r="B24" s="240"/>
      <c r="C24" s="240"/>
      <c r="D24" s="240"/>
      <c r="E24" s="241"/>
      <c r="F24" s="241"/>
      <c r="G24" s="242"/>
      <c r="H24" s="243" t="s">
        <v>87</v>
      </c>
      <c r="I24" s="244" t="s">
        <v>121</v>
      </c>
      <c r="J24" s="245" t="str">
        <f>UPPER(IF(OR(I24="a",I24="as"),E23,IF(OR(I24="b",I24="bs"),E25,)))</f>
        <v>KADIVNIK KLEMEN</v>
      </c>
      <c r="K24" s="246">
        <f>IF(OR(I24="a",I24="as"),I23,IF(OR(I24="b",I24="bs"),I25,))</f>
        <v>0</v>
      </c>
      <c r="L24" s="227"/>
      <c r="M24" s="262"/>
      <c r="N24" s="229"/>
      <c r="O24" s="269"/>
      <c r="P24" s="229"/>
      <c r="Q24" s="269"/>
      <c r="R24" s="233"/>
      <c r="U24" s="180">
        <f>IF(OR(I24="a",I24="as"),C23,IF(OR(I24="b",I24="bs"),C25,""))</f>
        <v>0</v>
      </c>
      <c r="V24" s="208">
        <v>18</v>
      </c>
      <c r="W24" s="263" t="str">
        <f>UPPER(IF($D41="","",VLOOKUP($D41,'[2]m glavni turnir žrebna lista'!$A$7:$R$38,3)))</f>
        <v/>
      </c>
      <c r="X24" s="263" t="str">
        <f>PROPER(IF($D41="","",VLOOKUP($D41,'[2]m glavni turnir žrebna lista'!$A$7:$R$38,4)))</f>
        <v/>
      </c>
      <c r="Y24" s="249" t="str">
        <f t="shared" si="0"/>
        <v/>
      </c>
      <c r="Z24" s="249" t="str">
        <f>IF(Y24="","",IF(AND($Q$63=1,U41=U40),30,IF(AND($Q$63=2,U41=U40),15,IF(AND($Q$63=3,U41=U40),10,""))))</f>
        <v/>
      </c>
      <c r="AA24" s="249" t="str">
        <f>IF(Z24="","",IF(AND($Q$63=1,U40=U41,U41=U42),60,IF(AND($Q$63=2,U40=U41,U41=U42),30,IF(AND($Q$63=3,U40=U41,U41=U42),20,""))))</f>
        <v/>
      </c>
      <c r="AB24" s="249" t="str">
        <f>IF(AA24="","",IF(AND($Q$63=1,U46=U42,U42=U40,U40=U41),120,IF(AND($Q$63=2,U46=U42,U42=U40,U40=U41),60,IF(AND($Q$63=3,U46=U42,U42=U40,U41=U40),40,""))))</f>
        <v/>
      </c>
      <c r="AC24" s="249" t="str">
        <f>IF(AB24="","",IF(AND($Q$63=1,$U$41=$U$40,$U$40=$U$42,$U$42=$U$46,$U$46=$U$54),120,IF(AND($Q$63=2,$U$41=$U$40,$U$40=$U$42,$U$42=$U$46,$U$46=$U$54),60,IF(AND($Q$63=3,$U$41=$U$40,$U$40=$U$42,$U$42=$U$46,$U$46=$U$54),40,""))))</f>
        <v/>
      </c>
      <c r="AD24" s="249" t="str">
        <f>IF(AC24="","",IF(AND($Q$63=1,$U$41=$U$40,$U$40=$U$42,$U$42=$U$46,$U$46=$U$54,$U$38=$U$54),120,IF(AND($Q$63=2,$U$41=$U$40,$U$40=$U$42,$U$42=$U$46,$U$46=$U$54,$U$38=$U$54),60,IF(AND($Q$63=3,$U$41=$U$40,$U$40=$U$42,$U$42=$U$46,$U$46=$U$54,$U$38=$U$54),40,""))))</f>
        <v/>
      </c>
      <c r="AE24" s="250">
        <f t="shared" si="1"/>
        <v>0</v>
      </c>
      <c r="AF24" s="186"/>
      <c r="AG24" s="238"/>
      <c r="AH24" s="238"/>
      <c r="AI24" s="238"/>
      <c r="AJ24" s="238"/>
    </row>
    <row r="25" spans="1:36" s="234" customFormat="1" ht="9.6" customHeight="1">
      <c r="A25" s="239">
        <v>10</v>
      </c>
      <c r="B25" s="251" t="str">
        <f>IF($D25="","",VLOOKUP($D25,'[2]m glavni turnir žrebna lista'!$A$7:$R$38,17))</f>
        <v/>
      </c>
      <c r="C25" s="251" t="str">
        <f>IF($D25="","",VLOOKUP($D25,'[2]m glavni turnir žrebna lista'!$A$7:$R$38,2))</f>
        <v/>
      </c>
      <c r="D25" s="225"/>
      <c r="E25" s="252" t="s">
        <v>3</v>
      </c>
      <c r="F25" s="252" t="str">
        <f>PROPER(IF($D25="","",VLOOKUP($D25,'[2]m glavni turnir žrebna lista'!$A$7:$R$38,4)))</f>
        <v/>
      </c>
      <c r="G25" s="252"/>
      <c r="H25" s="252" t="str">
        <f>IF($D25="","",VLOOKUP($D25,'[2]m glavni turnir žrebna lista'!$A$7:$R$38,5))</f>
        <v/>
      </c>
      <c r="I25" s="253" t="str">
        <f>IF($D25="","",VLOOKUP($D25,'[2]m glavni turnir žrebna lista'!$A$7:$R$38,14))</f>
        <v/>
      </c>
      <c r="J25" s="254"/>
      <c r="K25" s="255"/>
      <c r="L25" s="227"/>
      <c r="M25" s="262"/>
      <c r="N25" s="229"/>
      <c r="O25" s="269"/>
      <c r="P25" s="229"/>
      <c r="Q25" s="269"/>
      <c r="R25" s="233"/>
      <c r="U25" s="180" t="str">
        <f>IF($D25="","",VLOOKUP($D25,'[2]m glavni turnir žrebna lista'!$A$7:$R$38,2))</f>
        <v/>
      </c>
      <c r="V25" s="208">
        <v>19</v>
      </c>
      <c r="W25" s="208" t="str">
        <f>UPPER(IF($D43="","",VLOOKUP($D43,'[2]m glavni turnir žrebna lista'!$A$7:$R$38,3)))</f>
        <v>KVAS MIHA</v>
      </c>
      <c r="X25" s="208" t="str">
        <f>PROPER(IF($D43="","",VLOOKUP($D43,'[2]m glavni turnir žrebna lista'!$A$7:$R$38,4)))</f>
        <v/>
      </c>
      <c r="Y25" s="209" t="str">
        <f t="shared" si="0"/>
        <v/>
      </c>
      <c r="Z25" s="209" t="str">
        <f>IF(Y25="","",IF(AND($Q$63=1,U44=U43),30,IF(AND($Q$63=2,U44=U43),15,IF(AND($Q$63=3,U44=U43),10,""))))</f>
        <v/>
      </c>
      <c r="AA25" s="209" t="str">
        <f>IF(Z25="","",IF(AND($Q$63=1,U44=U42,U44=U43),60,IF(AND($Q$63=2,U42=U44,U44=U43),30,IF(AND($Q$63=3,U42=U44,U44=U43),20,""))))</f>
        <v/>
      </c>
      <c r="AB25" s="209" t="str">
        <f>IF(AA25="","",IF(AND($Q$63=1,U46=U42,U42=U44,U44=U43),120,IF(AND($Q$63=2,U46=U42,U42=U44,U44=U43),60,IF(AND($Q$63=3,U46=U42,U42=U44,U44=U43),40,""))))</f>
        <v/>
      </c>
      <c r="AC25" s="209" t="str">
        <f>IF(AB25="","",IF(AND($Q$63=1,$U$43=$U$44,$U$44=$U$42,$U$42=$U$46,$U$46=$U$54),120,IF(AND($Q$63=2,$U$43=$U$44,$U$44=$U$42,$U$42=$U$46,$U$46=$U$54),60,IF(AND($Q$63=3,$U$43=$U$44,$U$44=$U$42,$U$42=$U$46,$U$46=$U$54),40,""))))</f>
        <v/>
      </c>
      <c r="AD25" s="209" t="str">
        <f>IF(AC25="","",IF(AND($Q$63=1,$U$43=$U$44,$U$44=$U$42,$U$42=$U$46,$U$46=$U$54,$U$38=$U$54),120,IF(AND($Q$63=2,$U$43=$U$44,$U$44=$U$42,$U$42=$U$46,$U$46=$U$54,$U$38=$U$54),60,IF(AND($Q$63=3,$U$43=$U$44,$U$44=$U$42,$U$42=$U$46,$U$46=$U$54,$U$38=$U$54),40,""))))</f>
        <v/>
      </c>
      <c r="AE25" s="237">
        <f t="shared" si="1"/>
        <v>0</v>
      </c>
      <c r="AF25" s="186"/>
      <c r="AG25" s="238"/>
      <c r="AH25" s="238"/>
      <c r="AI25" s="238"/>
      <c r="AJ25" s="238"/>
    </row>
    <row r="26" spans="1:36" s="234" customFormat="1" ht="9.6" customHeight="1">
      <c r="A26" s="239"/>
      <c r="B26" s="240"/>
      <c r="C26" s="240"/>
      <c r="D26" s="256"/>
      <c r="E26" s="241"/>
      <c r="F26" s="241"/>
      <c r="G26" s="242"/>
      <c r="H26" s="241"/>
      <c r="I26" s="257"/>
      <c r="J26" s="243" t="s">
        <v>87</v>
      </c>
      <c r="K26" s="258"/>
      <c r="L26" s="259" t="str">
        <f>UPPER(IF(OR(K26="a",K26="as"),J24,IF(OR(K26="b",K26="bs"),J28,)))</f>
        <v/>
      </c>
      <c r="M26" s="260">
        <f>IF(OR(K26="a",K26="as"),K24,IF(OR(K26="b",K26="bs"),K28,))</f>
        <v>0</v>
      </c>
      <c r="N26" s="229"/>
      <c r="O26" s="269"/>
      <c r="P26" s="229"/>
      <c r="Q26" s="269"/>
      <c r="R26" s="233"/>
      <c r="U26" s="180" t="str">
        <f>IF(OR(K26="a",K26="as"),U24,IF(OR(K26="b",K26="bs"),U28,""))</f>
        <v/>
      </c>
      <c r="V26" s="208">
        <v>20</v>
      </c>
      <c r="W26" s="263" t="str">
        <f>UPPER(IF($D45="","",VLOOKUP($D45,'[2]m glavni turnir žrebna lista'!$A$7:$R$38,3)))</f>
        <v>SMERKOL ROK</v>
      </c>
      <c r="X26" s="263" t="str">
        <f>PROPER(IF($D45="","",VLOOKUP($D45,'[2]m glavni turnir žrebna lista'!$A$7:$R$38,4)))</f>
        <v/>
      </c>
      <c r="Y26" s="249" t="str">
        <f t="shared" si="0"/>
        <v/>
      </c>
      <c r="Z26" s="249" t="str">
        <f>IF(Y26="","",IF(AND($Q$63=1,U45=U44),30,IF(AND($Q$63=2,U45=U44),15,IF(AND($Q$63=3,U45=U44),10,""))))</f>
        <v/>
      </c>
      <c r="AA26" s="249" t="str">
        <f>IF(Z26="","",IF(AND($Q$63=1,U45=U42,U45=U44),60,IF(AND($Q$63=2,U42=U45,U45=U44),30,IF(AND($Q$63=3,U42=U45,U45=U44),20,""))))</f>
        <v/>
      </c>
      <c r="AB26" s="249" t="str">
        <f>IF(AA26="","",IF(AND($Q$63=1,U46=U42,U42=U44,U45=U44),120,IF(AND($Q$63=2,U46=U42,U42=U44,U45=U44),60,IF(AND($Q$63=3,U46=U42,U42=U44,U45=U44),40,""))))</f>
        <v/>
      </c>
      <c r="AC26" s="249" t="str">
        <f>IF(AB26="","",IF(AND($Q$63=1,$U$45=$U$44,$U$44=$U$42,$U$42=$U$46,$U$46=$U$54),120,IF(AND($Q$63=2,$U$45=$U$44,$U$44=$U$42,$U$42=$U$46,$U$46=$U$54),60,IF(AND($Q$63=3,$U$45=$U$44,$U$44=$U$42,$U$42=$U$46,$U$46=$U$54),40,""))))</f>
        <v/>
      </c>
      <c r="AD26" s="249" t="str">
        <f>IF(AC26="","",IF(AND($Q$63=1,$U$45=$U$44,$U$44=$U$42,$U$42=$U$46,$U$46=$U$54,$U$38=$U$54),120,IF(AND($Q$63=2,$U$45=$U$44,$U$44=$U$42,$U$42=$U$46,$U$46=$U$54,$U$38=$U$54),60,IF(AND($Q$63=3,$U$45=$U$44,$U$44=$U$42,$U$42=$U$46,$U$46=$U$54,$U$38=$U$54),40,""))))</f>
        <v/>
      </c>
      <c r="AE26" s="250">
        <f t="shared" si="1"/>
        <v>0</v>
      </c>
      <c r="AF26" s="186"/>
      <c r="AG26" s="238"/>
      <c r="AH26" s="238"/>
      <c r="AI26" s="238"/>
      <c r="AJ26" s="238"/>
    </row>
    <row r="27" spans="1:36" s="234" customFormat="1" ht="9.6" customHeight="1">
      <c r="A27" s="239">
        <v>11</v>
      </c>
      <c r="B27" s="251">
        <f>IF($D27="","",VLOOKUP($D27,'[2]m glavni turnir žrebna lista'!$A$7:$R$38,17))</f>
        <v>0</v>
      </c>
      <c r="C27" s="251">
        <f>IF($D27="","",VLOOKUP($D27,'[2]m glavni turnir žrebna lista'!$A$7:$R$38,2))</f>
        <v>0</v>
      </c>
      <c r="D27" s="225">
        <v>21</v>
      </c>
      <c r="E27" s="252" t="str">
        <f>UPPER(IF($D27="","",VLOOKUP($D27,'[2]m glavni turnir žrebna lista'!$A$7:$R$38,3)))</f>
        <v>TURUK MARKO</v>
      </c>
      <c r="F27" s="252" t="str">
        <f>PROPER(IF($D27="","",VLOOKUP($D27,'[2]m glavni turnir žrebna lista'!$A$7:$R$38,4)))</f>
        <v/>
      </c>
      <c r="G27" s="252"/>
      <c r="H27" s="252">
        <f>IF($D27="","",VLOOKUP($D27,'[2]m glavni turnir žrebna lista'!$A$7:$R$38,5))</f>
        <v>0</v>
      </c>
      <c r="I27" s="226">
        <f>IF($D27="","",VLOOKUP($D27,'[2]m glavni turnir žrebna lista'!$A$7:$R$38,14))</f>
        <v>0</v>
      </c>
      <c r="J27" s="227"/>
      <c r="K27" s="264"/>
      <c r="L27" s="254"/>
      <c r="M27" s="265"/>
      <c r="N27" s="229"/>
      <c r="O27" s="269"/>
      <c r="P27" s="229"/>
      <c r="Q27" s="269"/>
      <c r="R27" s="233"/>
      <c r="U27" s="180">
        <f>IF($D27="","",VLOOKUP($D27,'[2]m glavni turnir žrebna lista'!$A$7:$R$38,2))</f>
        <v>0</v>
      </c>
      <c r="V27" s="208">
        <v>21</v>
      </c>
      <c r="W27" s="208" t="str">
        <f>UPPER(IF($D47="","",VLOOKUP($D47,'[2]m glavni turnir žrebna lista'!$A$7:$R$38,3)))</f>
        <v>JOLIČ RADE</v>
      </c>
      <c r="X27" s="208" t="str">
        <f>PROPER(IF($D47="","",VLOOKUP($D47,'[2]m glavni turnir žrebna lista'!$A$7:$R$38,4)))</f>
        <v/>
      </c>
      <c r="Y27" s="209" t="str">
        <f t="shared" si="0"/>
        <v/>
      </c>
      <c r="Z27" s="209" t="str">
        <f>IF(Y27="","",IF(AND($Q$63=1,U48=U47),30,IF(AND($Q$63=2,U48=U47),15,IF(AND($Q$63=3,U48=U47),10,""))))</f>
        <v/>
      </c>
      <c r="AA27" s="209" t="str">
        <f>IF(Z27="","",IF(AND($Q$63=1,U50=U48,U48=U47),60,IF(AND($Q$63=2,U50=U48,U48=U47),30,IF(AND($Q$63=3,U50=U48,U48=U47),20,""))))</f>
        <v/>
      </c>
      <c r="AB27" s="209" t="str">
        <f>IF(AA27="","",IF(AND($Q$63=1,U46=U50,U50=U48,U48=U47),120,IF(AND($Q$63=2,U46=U50,U50=U48,U48=U47),60,IF(AND($Q$63=3,U46=U50,U50=U48,U48=U47),40,""))))</f>
        <v/>
      </c>
      <c r="AC27" s="209" t="str">
        <f>IF(AB27="","",IF(AND($Q$63=1,$U$47=$U$48,$U$48=$U$50,$U$50=$U$46,$U$46=$U$54),120,IF(AND($Q$63=2,$U$47=$U$48,$U$48=$U$50,$U$50=$U$46,$U$46=$U$54),60,IF(AND($Q$63=3,$U$47=$U$48,$U$48=$U$50,$U$50=$U$46,$U$46=$U$54),40,""))))</f>
        <v/>
      </c>
      <c r="AD27" s="209" t="str">
        <f>IF(AC27="","",IF(AND($Q$63=1,$U$47=$U$48,$U$48=$U$50,$U$50=$U$46,$U$46=$U$54,$U$38=$U$54),120,IF(AND($Q$63=2,$U$47=$U$48,$U$48=$U$50,$U$50=$U$46,$U$46=$U$54,$U$38=$U$54),60,IF(AND($Q$63=3,$U$47=$U$48,$U$48=$U$50,$U$50=$U$46,$U$46=$U$54,$U$38=$U$54),40,""))))</f>
        <v/>
      </c>
      <c r="AE27" s="237">
        <f t="shared" si="1"/>
        <v>0</v>
      </c>
      <c r="AF27" s="186"/>
      <c r="AG27" s="238"/>
      <c r="AH27" s="238"/>
      <c r="AI27" s="238"/>
      <c r="AJ27" s="238"/>
    </row>
    <row r="28" spans="1:36" s="234" customFormat="1" ht="9.6" customHeight="1">
      <c r="A28" s="275"/>
      <c r="B28" s="240"/>
      <c r="C28" s="240"/>
      <c r="D28" s="256"/>
      <c r="E28" s="241"/>
      <c r="F28" s="241"/>
      <c r="G28" s="242"/>
      <c r="H28" s="243" t="s">
        <v>87</v>
      </c>
      <c r="I28" s="244"/>
      <c r="J28" s="259" t="str">
        <f>UPPER(IF(OR(I28="a",I28="as"),E27,IF(OR(I28="b",I28="bs"),E29,)))</f>
        <v/>
      </c>
      <c r="K28" s="266">
        <f>IF(OR(I28="a",I28="as"),I27,IF(OR(I28="b",I28="bs"),I29,))</f>
        <v>0</v>
      </c>
      <c r="L28" s="227"/>
      <c r="M28" s="265"/>
      <c r="N28" s="229"/>
      <c r="O28" s="269"/>
      <c r="P28" s="229"/>
      <c r="Q28" s="269"/>
      <c r="R28" s="233"/>
      <c r="U28" s="180" t="str">
        <f>IF(OR(I28="a",I28="as"),C27,IF(OR(I28="b",I28="bs"),C29,""))</f>
        <v/>
      </c>
      <c r="V28" s="208">
        <v>22</v>
      </c>
      <c r="W28" s="263" t="str">
        <f>UPPER(IF($D49="","",VLOOKUP($D49,'[2]m glavni turnir žrebna lista'!$A$7:$R$38,3)))</f>
        <v>JOVANOVIČ ZORAN</v>
      </c>
      <c r="X28" s="263" t="str">
        <f>PROPER(IF($D49="","",VLOOKUP($D49,'[2]m glavni turnir žrebna lista'!$A$7:$R$38,4)))</f>
        <v/>
      </c>
      <c r="Y28" s="249" t="str">
        <f t="shared" si="0"/>
        <v/>
      </c>
      <c r="Z28" s="249" t="str">
        <f>IF(Y28="","",IF(AND($Q$63=1,U49=U48),30,IF(AND($Q$63=2,U49=U48),15,IF(AND($Q$63=3,U49=U48),10,""))))</f>
        <v/>
      </c>
      <c r="AA28" s="249" t="str">
        <f>IF(Z28="","",IF(AND($Q$63=1,U50=U49,U49=U48),60,IF(AND($Q$63=2,U50=U49,U49=U48),30,IF(AND($Q$63=3,U50=U49,U49=U48),20,""))))</f>
        <v/>
      </c>
      <c r="AB28" s="249" t="str">
        <f>IF(AA28="","",IF(AND($Q$63=1,U46=U50,U50=U48,U49=U48),120,IF(AND($Q$63=2,U46=U50,U50=U48,U48=U49),60,IF(AND($Q$63=3,U46=U50,U50=U48,U49=U48),40,""))))</f>
        <v/>
      </c>
      <c r="AC28" s="249" t="str">
        <f>IF(AB28="","",IF(AND($Q$63=1,$U$49=$U$48,$U$48=$U$50,$U$50=$U$46,$U$46=$U$54),120,IF(AND($Q$63=2,$U$49=$U$48,$U$48=$U$50,$U$50=$U$46,$U$46=$U$54),60,IF(AND($Q$63=3,$U$49=$U$48,$U$48=$U$50,$U$50=$U$46,$U$46=$U$54),40,""))))</f>
        <v/>
      </c>
      <c r="AD28" s="249" t="str">
        <f>IF(AC28="","",IF(AND($Q$63=1,$U$49=$U$48,$U$48=$U$50,$U$50=$U$46,$U$46=$U$54,$U$38=$U$54),120,IF(AND($Q$63=2,$U$49=$U$48,$U$48=$U$50,$U$50=$U$46,$U$46=$U$54,$U$38=$U$54),60,IF(AND($Q$63=3,$U$49=$U$48,$U$48=$U$50,$U$50=$U$46,$U$46=$U$54,$U$38=$U$54),40,""))))</f>
        <v/>
      </c>
      <c r="AE28" s="250">
        <f t="shared" si="1"/>
        <v>0</v>
      </c>
      <c r="AF28" s="186"/>
      <c r="AG28" s="238"/>
      <c r="AH28" s="238"/>
      <c r="AI28" s="238"/>
      <c r="AJ28" s="238"/>
    </row>
    <row r="29" spans="1:36" s="234" customFormat="1" ht="9.6" customHeight="1">
      <c r="A29" s="239">
        <v>12</v>
      </c>
      <c r="B29" s="251">
        <f>IF($D29="","",VLOOKUP($D29,'[2]m glavni turnir žrebna lista'!$A$7:$R$38,17))</f>
        <v>0</v>
      </c>
      <c r="C29" s="251">
        <f>IF($D29="","",VLOOKUP($D29,'[2]m glavni turnir žrebna lista'!$A$7:$R$38,2))</f>
        <v>0</v>
      </c>
      <c r="D29" s="225">
        <v>19</v>
      </c>
      <c r="E29" s="252" t="str">
        <f>UPPER(IF($D29="","",VLOOKUP($D29,'[2]m glavni turnir žrebna lista'!$A$7:$R$38,3)))</f>
        <v>MAGAJNE TONI</v>
      </c>
      <c r="F29" s="252" t="str">
        <f>PROPER(IF($D29="","",VLOOKUP($D29,'[2]m glavni turnir žrebna lista'!$A$7:$R$38,4)))</f>
        <v/>
      </c>
      <c r="G29" s="252"/>
      <c r="H29" s="252">
        <f>IF($D29="","",VLOOKUP($D29,'[2]m glavni turnir žrebna lista'!$A$7:$R$38,5))</f>
        <v>0</v>
      </c>
      <c r="I29" s="253">
        <f>IF($D29="","",VLOOKUP($D29,'[2]m glavni turnir žrebna lista'!$A$7:$R$38,14))</f>
        <v>0</v>
      </c>
      <c r="J29" s="254"/>
      <c r="K29" s="228">
        <f>IF(OR(I29="a",I29="as"),I28,IF(OR(I29="b",I29="bs"),I30,))</f>
        <v>0</v>
      </c>
      <c r="L29" s="227"/>
      <c r="M29" s="265"/>
      <c r="N29" s="229"/>
      <c r="O29" s="269"/>
      <c r="P29" s="229"/>
      <c r="Q29" s="269"/>
      <c r="R29" s="233"/>
      <c r="U29" s="180">
        <f>IF($D29="","",VLOOKUP($D29,'[2]m glavni turnir žrebna lista'!$A$7:$R$38,2))</f>
        <v>0</v>
      </c>
      <c r="V29" s="208">
        <v>23</v>
      </c>
      <c r="W29" s="208" t="str">
        <f>UPPER(IF($D51="","",VLOOKUP($D51,'[2]m glavni turnir žrebna lista'!$A$7:$R$38,3)))</f>
        <v/>
      </c>
      <c r="X29" s="208" t="str">
        <f>PROPER(IF($D51="","",VLOOKUP($D51,'[2]m glavni turnir žrebna lista'!$A$7:$R$38,4)))</f>
        <v/>
      </c>
      <c r="Y29" s="209" t="str">
        <f t="shared" si="0"/>
        <v/>
      </c>
      <c r="Z29" s="209" t="str">
        <f>IF(Y29="","",IF(AND($Q$63=1,U52=U51),30,IF(AND($Q$63=2,U52=U51),15,IF(AND($Q$63=3,U52=U51),10,""))))</f>
        <v/>
      </c>
      <c r="AA29" s="209" t="str">
        <f>IF(Z29="","",IF(AND($Q$63=1,U51=U50,U50=U52),60,IF(AND($Q$63=2,U51=U50,U50=U52),30,IF(AND($Q$63=3,U51=U50,U50=U52),20,""))))</f>
        <v/>
      </c>
      <c r="AB29" s="209" t="str">
        <f>IF(AA29="","",IF(AND($Q$63=1,U46=U50,U50=U52,U52=U51),120,IF(AND($Q$63=2,U46=U50,U50=U52,U52=U51),60,IF(AND($Q$63=3,U46=U50,U50=U52,U52=U51),40,""))))</f>
        <v/>
      </c>
      <c r="AC29" s="209" t="str">
        <f>IF(AB29="","",IF(AND($Q$63=1,$U$51=$U$52,$U$52=$U$50,$U$50=$U$46,$U$46=$U$54),120,IF(AND($Q$63=2,$U$51=$U$52,$U$52=$U$50,$U$50=$U$46,$U$46=$U$54),60,IF(AND($Q$63=3,$U$51=$U$52,$U$52=$U$50,$U$50=$U$46,$U$46=$U$54),40,""))))</f>
        <v/>
      </c>
      <c r="AD29" s="209" t="str">
        <f>IF(AC29="","",IF(AND($Q$63=1,$U$51=$U$52,$U$52=$U$50,$U$50=$U$46,$U$46=$U$54,$U$38=$U$54),120,IF(AND($Q$63=2,$U$51=$U$52,$U$52=$U$50,$U$50=$U$46,$U$46=$U$54,$U$38=$U$54),60,IF(AND($Q$63=3,$U$51=$U$52,$U$52=$U$50,$U$50=$U$46,$U$46=$U$54,$U$38=$U$54),40,""))))</f>
        <v/>
      </c>
      <c r="AE29" s="237">
        <f t="shared" si="1"/>
        <v>0</v>
      </c>
      <c r="AF29" s="186"/>
      <c r="AG29" s="238"/>
      <c r="AH29" s="238"/>
      <c r="AI29" s="238"/>
      <c r="AJ29" s="238"/>
    </row>
    <row r="30" spans="1:36" s="234" customFormat="1" ht="9.6" customHeight="1">
      <c r="A30" s="239"/>
      <c r="B30" s="240"/>
      <c r="C30" s="240"/>
      <c r="D30" s="256"/>
      <c r="E30" s="227"/>
      <c r="F30" s="227"/>
      <c r="G30" s="267"/>
      <c r="H30" s="268"/>
      <c r="I30" s="257"/>
      <c r="J30" s="227"/>
      <c r="K30" s="228"/>
      <c r="L30" s="243" t="s">
        <v>87</v>
      </c>
      <c r="M30" s="258"/>
      <c r="N30" s="259" t="str">
        <f>UPPER(IF(OR(M30="a",M30="as"),L26,IF(OR(M30="b",M30="bs"),L34,)))</f>
        <v/>
      </c>
      <c r="O30" s="276">
        <f>IF(OR(M30="a",M30="as"),M26,IF(OR(M30="b",M30="bs"),M34,))</f>
        <v>0</v>
      </c>
      <c r="P30" s="229"/>
      <c r="Q30" s="269"/>
      <c r="R30" s="233"/>
      <c r="U30" s="180" t="str">
        <f>IF(OR(M30="a",M30="as"),U26,IF(OR(M30="b",M30="bs"),U34,""))</f>
        <v/>
      </c>
      <c r="V30" s="208">
        <v>24</v>
      </c>
      <c r="W30" s="263" t="str">
        <f>UPPER(IF($D53="","",VLOOKUP($D53,'[2]m glavni turnir žrebna lista'!$A$7:$R$38,3)))</f>
        <v>JANHAR BLAŽ</v>
      </c>
      <c r="X30" s="263" t="str">
        <f>PROPER(IF($D53="","",VLOOKUP($D53,'[2]m glavni turnir žrebna lista'!$A$7:$R$38,4)))</f>
        <v>4</v>
      </c>
      <c r="Y30" s="249" t="str">
        <f t="shared" si="0"/>
        <v/>
      </c>
      <c r="Z30" s="249" t="str">
        <f>IF(Y30="","",IF(AND($Q$63=1,U53=U52),30,IF(AND($Q$63=2,U53=U52),15,IF(AND($Q$63=3,U53=U52),10,""))))</f>
        <v/>
      </c>
      <c r="AA30" s="249" t="str">
        <f>IF(Z30="","",IF(AND($Q$63=1,U52=U50,U52=U53),60,IF(AND($Q$63=2,U52=U50,U52=U53),30,IF(AND($Q$63=3,U52=U50,U52=U53),20,""))))</f>
        <v/>
      </c>
      <c r="AB30" s="249" t="str">
        <f>IF(AA30="","",IF(AND($Q$63=1,U46=U50,U50=U52,U53=U52),120,IF(AND($Q$63=2,U46=U50,U50=U52,U53=U52),60,IF(AND($Q$63=3,U46=U50,U50=U52,U53=U52),40,""))))</f>
        <v/>
      </c>
      <c r="AC30" s="249" t="str">
        <f>IF(AB30="","",IF(AND($Q$63=1,$U$53=$U$52,$U$52=$U$50,$U$50=$U$46,$U$46=$U$54),120,IF(AND($Q$63=2,$U$53=$U$52,$U$52=$U$50,$U$50=$U$46,$U$46=$U$54),60,IF(AND($Q$63=3,$U$53=$U$52,$U$52=$U$50,$U$50=$U$46,$U$46=$U$54),40,""))))</f>
        <v/>
      </c>
      <c r="AD30" s="249" t="str">
        <f>IF(AC30="","",IF(AND($Q$63=1,$U$53=$U$52,$U$52=$U$50,$U$50=$U$46,$U$46=$U$54,$U$38=$U$54),120,IF(AND($Q$63=2,$U$53=$U$52,$U$52=$U$50,$U$50=$U$46,$U$46=$U$54,$U$38=$U$54),60,IF(AND($Q$63=3,$U$53=$U$52,$U$52=$U$50,$U$50=$U$46,$U$46=$U$54,$U$38=$U$54),40,""))))</f>
        <v/>
      </c>
      <c r="AE30" s="250">
        <f t="shared" si="1"/>
        <v>0</v>
      </c>
      <c r="AF30" s="186"/>
      <c r="AG30" s="238"/>
      <c r="AH30" s="238"/>
      <c r="AI30" s="238"/>
      <c r="AJ30" s="238"/>
    </row>
    <row r="31" spans="1:36" s="234" customFormat="1" ht="9.6" customHeight="1">
      <c r="A31" s="239">
        <v>13</v>
      </c>
      <c r="B31" s="251">
        <f>IF($D31="","",VLOOKUP($D31,'[2]m glavni turnir žrebna lista'!$A$7:$R$38,17))</f>
        <v>0</v>
      </c>
      <c r="C31" s="251">
        <f>IF($D31="","",VLOOKUP($D31,'[2]m glavni turnir žrebna lista'!$A$7:$R$38,2))</f>
        <v>0</v>
      </c>
      <c r="D31" s="225">
        <v>9</v>
      </c>
      <c r="E31" s="252" t="str">
        <f>UPPER(IF($D31="","",VLOOKUP($D31,'[2]m glavni turnir žrebna lista'!$A$7:$R$38,3)))</f>
        <v>AGREŽ TADEJ</v>
      </c>
      <c r="F31" s="252" t="str">
        <f>PROPER(IF($D31="","",VLOOKUP($D31,'[2]m glavni turnir žrebna lista'!$A$7:$R$38,4)))</f>
        <v/>
      </c>
      <c r="G31" s="252"/>
      <c r="H31" s="252">
        <f>IF($D31="","",VLOOKUP($D31,'[2]m glavni turnir žrebna lista'!$A$7:$R$38,5))</f>
        <v>0</v>
      </c>
      <c r="I31" s="226">
        <f>IF($D31="","",VLOOKUP($D31,'[2]m glavni turnir žrebna lista'!$A$7:$R$38,14))</f>
        <v>0</v>
      </c>
      <c r="J31" s="227"/>
      <c r="K31" s="228"/>
      <c r="L31" s="227"/>
      <c r="M31" s="265"/>
      <c r="N31" s="254"/>
      <c r="O31" s="230"/>
      <c r="P31" s="229"/>
      <c r="Q31" s="269"/>
      <c r="R31" s="233"/>
      <c r="U31" s="180">
        <f>IF($D31="","",VLOOKUP($D31,'[2]m glavni turnir žrebna lista'!$A$7:$R$38,2))</f>
        <v>0</v>
      </c>
      <c r="V31" s="208">
        <v>25</v>
      </c>
      <c r="W31" s="208" t="str">
        <f>UPPER(IF($D55="","",VLOOKUP($D55,'[2]m glavni turnir žrebna lista'!$A$7:$R$38,3)))</f>
        <v>URANIČ DENIS</v>
      </c>
      <c r="X31" s="208" t="str">
        <f>PROPER(IF($D55="","",VLOOKUP($D55,'[2]m glavni turnir žrebna lista'!$A$7:$R$38,4)))</f>
        <v>8</v>
      </c>
      <c r="Y31" s="209" t="str">
        <f t="shared" si="0"/>
        <v/>
      </c>
      <c r="Z31" s="209" t="str">
        <f>IF(Y31="","",IF(AND($Q$63=1,U56=U55),30,IF(AND($Q$63=2,U56=U55),15,IF(AND($Q$63=3,U56=U55),10,""))))</f>
        <v/>
      </c>
      <c r="AA31" s="209" t="str">
        <f>IF(Z31="","",IF(AND($Q$63=1,U55=U56,U56=U58),60,IF(AND($Q$63=2,U55=U56,U56=U58),30,IF(AND($Q$63=3,U55=U56,U56=U58),20,""))))</f>
        <v/>
      </c>
      <c r="AB31" s="209" t="str">
        <f>IF(AA31="","",IF(AND($Q$63=1,U62=U58,U58=U56,U56=U55),120,IF(AND($Q$63=2,U62=U58,U58=U56,U56=U55),60,IF(AND($Q$63=3,U62=U58,U58=U56,U56=U55),40,""))))</f>
        <v/>
      </c>
      <c r="AC31" s="209" t="str">
        <f>IF(AB31="","",IF(AND($Q$63=1,$U$55=$U$56,$U$56=$U$58,$U$58=$U$62,$U$62=$U$54),120,IF(AND($Q$63=2,$U$55=$U$56,$U$56=$U$58,$U$58=$U$62,$U$62=$U$54),60,IF(AND($Q$63=3,$U$55=$U$56,$U$56=$U$58,$U$58=$U$62,$U$62=$U$54),40,""))))</f>
        <v/>
      </c>
      <c r="AD31" s="209" t="str">
        <f>IF(AC31="","",IF(AND($Q$63=1,$U$55=$U$56,$U$56=$U$58,$U$58=$U$62,$U$62=$U$54,$U$38=$U$54),120,IF(AND($Q$63=2,$U$55=$U$56,$U$56=$U$58,$U$58=$U$62,$U$62=$U$54,$U$38=$U$54),60,IF(AND($Q$63=3,$U$55=$U$56,$U$56=$U$58,$U$58=$U$62,$U$62=$U$54,$U$38=$U$54),40,""))))</f>
        <v/>
      </c>
      <c r="AE31" s="237">
        <f t="shared" si="1"/>
        <v>0</v>
      </c>
      <c r="AF31" s="186"/>
      <c r="AG31" s="238"/>
      <c r="AH31" s="238"/>
      <c r="AI31" s="238"/>
      <c r="AJ31" s="238"/>
    </row>
    <row r="32" spans="1:36" s="234" customFormat="1" ht="9.6" customHeight="1">
      <c r="A32" s="239"/>
      <c r="B32" s="240"/>
      <c r="C32" s="240"/>
      <c r="D32" s="256"/>
      <c r="E32" s="241"/>
      <c r="F32" s="241"/>
      <c r="G32" s="242"/>
      <c r="H32" s="243" t="s">
        <v>87</v>
      </c>
      <c r="I32" s="244"/>
      <c r="J32" s="259" t="str">
        <f>UPPER(IF(OR(I32="a",I32="as"),E31,IF(OR(I32="b",I32="bs"),E33,)))</f>
        <v/>
      </c>
      <c r="K32" s="246">
        <f>IF(OR(I32="a",I32="as"),I31,IF(OR(I32="b",I32="bs"),I33,))</f>
        <v>0</v>
      </c>
      <c r="L32" s="227"/>
      <c r="M32" s="265"/>
      <c r="N32" s="229"/>
      <c r="O32" s="230"/>
      <c r="P32" s="229"/>
      <c r="Q32" s="269"/>
      <c r="R32" s="233"/>
      <c r="U32" s="180" t="str">
        <f>IF(OR(I32="a",I32="as"),C31,IF(OR(I32="b",I32="bs"),C33,""))</f>
        <v/>
      </c>
      <c r="V32" s="208">
        <v>26</v>
      </c>
      <c r="W32" s="263" t="str">
        <f>UPPER(IF($D57="","",VLOOKUP($D57,'[2]m glavni turnir žrebna lista'!$A$7:$R$38,3)))</f>
        <v/>
      </c>
      <c r="X32" s="263" t="str">
        <f>PROPER(IF($D57="","",VLOOKUP($D57,'[2]m glavni turnir žrebna lista'!$A$7:$R$38,4)))</f>
        <v/>
      </c>
      <c r="Y32" s="249" t="str">
        <f t="shared" si="0"/>
        <v/>
      </c>
      <c r="Z32" s="249" t="str">
        <f>IF(Y32="","",IF(AND($Q$63=1,U57=U56),30,IF(AND($Q$63=2,U57=U56),15,IF(AND($Q$63=3,U57=U56),10,""))))</f>
        <v/>
      </c>
      <c r="AA32" s="249" t="str">
        <f>IF(Z32="","",IF(AND($Q$63=1,U56=U57,U57=U58),60,IF(AND($Q$63=2,U56=U57,U57=U58),30,IF(AND($Q$63=3,U56=U57,U57=U58),20,""))))</f>
        <v/>
      </c>
      <c r="AB32" s="249" t="str">
        <f>IF(AA32="","",IF(AND($Q$63=1,U62=U58,U58=U56,U56=U57),120,IF(AND($Q$63=2,U62=U58,U58=U56,U56=U57),60,IF(AND($Q$63=3,U62=U58,U58=U56,U56=U57),40,""))))</f>
        <v/>
      </c>
      <c r="AC32" s="249" t="str">
        <f>IF(AB32="","",IF(AND($Q$63=1,$U$57=$U$56,$U$56=$U$58,$U$58=$U$62,$U$62=$U$54),120,IF(AND($Q$63=2,$U$57=$U$56,$U$56=$U$58,$U$58=$U$62,$U$62=$U$54),60,IF(AND($Q$63=3,$U$57=$U$56,$U$56=$U$58,$U$58=$U$62,$U$62=$U$54),40,""))))</f>
        <v/>
      </c>
      <c r="AD32" s="249" t="str">
        <f>IF(AC32="","",IF(AND($Q$63=1,$U$57=$U$56,$U$56=$U$58,$U$58=$U$62,$U$62=$U$54,$U$38=$U$54),120,IF(AND($Q$63=2,$U$57=$U$56,$U$56=$U$58,$U$58=$U$62,$U$62=$U$54,$U$38=$U$54),60,IF(AND($Q$63=3,$U$57=$U$56,$U$56=$U$58,$U$58=$U$62,$U$62=$U$54,$U$38=$U$54),40,""))))</f>
        <v/>
      </c>
      <c r="AE32" s="250">
        <f t="shared" si="1"/>
        <v>0</v>
      </c>
      <c r="AF32" s="186"/>
      <c r="AG32" s="238"/>
      <c r="AH32" s="238"/>
      <c r="AI32" s="238"/>
      <c r="AJ32" s="238"/>
    </row>
    <row r="33" spans="1:36" s="234" customFormat="1" ht="9.6" customHeight="1">
      <c r="A33" s="239">
        <v>14</v>
      </c>
      <c r="B33" s="251">
        <f>IF($D33="","",VLOOKUP($D33,'[2]m glavni turnir žrebna lista'!$A$7:$R$38,17))</f>
        <v>0</v>
      </c>
      <c r="C33" s="251">
        <f>IF($D33="","",VLOOKUP($D33,'[2]m glavni turnir žrebna lista'!$A$7:$R$38,2))</f>
        <v>0</v>
      </c>
      <c r="D33" s="225">
        <v>23</v>
      </c>
      <c r="E33" s="252" t="str">
        <f>UPPER(IF($D33="","",VLOOKUP($D33,'[2]m glavni turnir žrebna lista'!$A$7:$R$38,3)))</f>
        <v>BIZJAK TOMAŽ</v>
      </c>
      <c r="F33" s="252" t="str">
        <f>PROPER(IF($D33="","",VLOOKUP($D33,'[2]m glavni turnir žrebna lista'!$A$7:$R$38,4)))</f>
        <v/>
      </c>
      <c r="G33" s="252"/>
      <c r="H33" s="252">
        <f>IF($D33="","",VLOOKUP($D33,'[2]m glavni turnir žrebna lista'!$A$7:$R$38,5))</f>
        <v>0</v>
      </c>
      <c r="I33" s="253">
        <f>IF($D33="","",VLOOKUP($D33,'[2]m glavni turnir žrebna lista'!$A$7:$R$38,14))</f>
        <v>0</v>
      </c>
      <c r="J33" s="254"/>
      <c r="K33" s="255"/>
      <c r="L33" s="227"/>
      <c r="M33" s="265"/>
      <c r="N33" s="229"/>
      <c r="O33" s="230"/>
      <c r="P33" s="229"/>
      <c r="Q33" s="269"/>
      <c r="R33" s="233"/>
      <c r="U33" s="180">
        <f>IF($D33="","",VLOOKUP($D33,'[2]m glavni turnir žrebna lista'!$A$7:$R$38,2))</f>
        <v>0</v>
      </c>
      <c r="V33" s="208">
        <v>27</v>
      </c>
      <c r="W33" s="208" t="str">
        <f>UPPER(IF($D59="","",VLOOKUP($D59,'[2]m glavni turnir žrebna lista'!$A$7:$R$38,3)))</f>
        <v>KRŽIČ ANDRAŽ</v>
      </c>
      <c r="X33" s="208" t="str">
        <f>PROPER(IF($D59="","",VLOOKUP($D59,'[2]m glavni turnir žrebna lista'!$A$7:$R$38,4)))</f>
        <v/>
      </c>
      <c r="Y33" s="209" t="str">
        <f t="shared" si="0"/>
        <v/>
      </c>
      <c r="Z33" s="209" t="str">
        <f>IF(Y33="","",IF(AND($Q$63=1,U60=U59),30,IF(AND($Q$63=2,U60=U59),15,IF(AND($Q$63=3,U60=U59),10,""))))</f>
        <v/>
      </c>
      <c r="AA33" s="209" t="str">
        <f>IF(Z33="","",IF(AND($Q$63=1,U60=U58,U58=U59),60,IF(AND($Q$63=2,U60=U58,U58=U59),30,IF(AND($Q$63=3,U60=U58,U58=U59),20,""))))</f>
        <v/>
      </c>
      <c r="AB33" s="209" t="str">
        <f>IF(AA33="","",IF(AND($Q$63=1,U62=U58,U58=U60,U60=U59),120,IF(AND($Q$63=2,U62=U58,U58=U60,U60=U59),60,IF(AND($Q$63=3,U62=U58,U58=U60,U60=U59),40,""))))</f>
        <v/>
      </c>
      <c r="AC33" s="209" t="str">
        <f>IF(AB33="","",IF(AND($Q$63=1,$U$59=$U$60,$U$60=$U$58,$U$58=$U$62,$U$62=$U$54),120,IF(AND($Q$63=2,$U$59=$U$60,$U$60=$U$58,$U$58=$U$62,$U$62=$U$54),60,IF(AND($Q$63=3,$U$59=$U$60,$U$60=$U$58,$U$58=$U$62,$U$62=$U$54),40,""))))</f>
        <v/>
      </c>
      <c r="AD33" s="209" t="str">
        <f>IF(AC33="","",IF(AND($Q$63=1,$U$59=$U$60,$U$60=$U$58,$U$58=$U$62,$U$62=$U$54,$U$38=$U$54),120,IF(AND($Q$63=2,$U$59=$U$60,$U$60=$U$58,$U$58=$U$62,$U$62=$U$54,$U$38=$U$54),60,IF(AND($Q$63=3,$U$59=$U$60,$U$60=$U$58,$U$58=$U$62,$U$62=$U$54,$U$38=$U$54),40,""))))</f>
        <v/>
      </c>
      <c r="AE33" s="237">
        <f t="shared" si="1"/>
        <v>0</v>
      </c>
      <c r="AF33" s="186"/>
      <c r="AG33" s="238"/>
      <c r="AH33" s="238"/>
      <c r="AI33" s="238"/>
      <c r="AJ33" s="238"/>
    </row>
    <row r="34" spans="1:36" s="234" customFormat="1" ht="9.6" customHeight="1">
      <c r="A34" s="239"/>
      <c r="B34" s="240"/>
      <c r="C34" s="240"/>
      <c r="D34" s="256"/>
      <c r="E34" s="241"/>
      <c r="F34" s="241"/>
      <c r="G34" s="242"/>
      <c r="H34" s="227"/>
      <c r="I34" s="257"/>
      <c r="J34" s="243" t="s">
        <v>87</v>
      </c>
      <c r="K34" s="258"/>
      <c r="L34" s="259" t="str">
        <f>UPPER(IF(OR(K34="a",K34="as"),J32,IF(OR(K34="b",K34="bs"),J36,)))</f>
        <v/>
      </c>
      <c r="M34" s="271">
        <f>IF(OR(K34="a",K34="as"),K32,IF(OR(K34="b",K34="bs"),K36,))</f>
        <v>0</v>
      </c>
      <c r="N34" s="229"/>
      <c r="O34" s="230"/>
      <c r="P34" s="229"/>
      <c r="Q34" s="269"/>
      <c r="R34" s="233"/>
      <c r="U34" s="180" t="str">
        <f>IF(OR(K34="a",K34="as"),U32,IF(OR(K34="b",K34="bs"),U36,""))</f>
        <v/>
      </c>
      <c r="V34" s="208">
        <v>28</v>
      </c>
      <c r="W34" s="263" t="str">
        <f>UPPER(IF($D61="","",VLOOKUP($D61,'[2]m glavni turnir žrebna lista'!$A$7:$R$38,3)))</f>
        <v/>
      </c>
      <c r="X34" s="263" t="str">
        <f>PROPER(IF($D61="","",VLOOKUP($D61,'[2]m glavni turnir žrebna lista'!$A$7:$R$38,4)))</f>
        <v/>
      </c>
      <c r="Y34" s="249" t="str">
        <f t="shared" si="0"/>
        <v/>
      </c>
      <c r="Z34" s="249" t="str">
        <f>IF(Y34="","",IF(AND($Q$63=1,U61=U60),30,IF(AND($Q$63=2,U61=U60),15,IF(AND($Q$63=3,U61=U60),10,""))))</f>
        <v/>
      </c>
      <c r="AA34" s="249" t="str">
        <f>IF(Z34="","",IF(AND($Q$63=1,U61=U58,U58=U60),60,IF(AND($Q$63=2,U61=U58,U58=U60),30,IF(AND($Q$63=3,U61=U58,U58=U60),20,""))))</f>
        <v/>
      </c>
      <c r="AB34" s="249" t="str">
        <f>IF(AA34="","",IF(AND($Q$63=1,U62=U58,U58=U60,U60=U61),120,IF(AND($Q$63=2,U62=U58,U58=U60,U60=U61),60,IF(AND($Q$63=3,U62=U58,U58=U60,U60=U61),40,""))))</f>
        <v/>
      </c>
      <c r="AC34" s="249" t="str">
        <f>IF(AB34="","",IF(AND($Q$63=1,$U$61=$U$60,$U$60=$U$58,$U$58=$U$62,$U$62=$U$54),120,IF(AND($Q$63=2,$U$61=$U$60,$U$60=$U$58,$U$58=$U$62,$U$62=$U$54),60,IF(AND($Q$63=3,$U$61=$U$60,$U$60=$U$58,$U$58=$U$62,$U$62=$U$54),40,""))))</f>
        <v/>
      </c>
      <c r="AD34" s="249" t="str">
        <f>IF(AC34="","",IF(AND($Q$63=1,$U$61=$U$60,$U$60=$U$58,$U$58=$U$62,$U$62=$U$54,$U$38=$U$54),120,IF(AND($Q$63=2,$U$61=$U$60,$U$60=$U$58,$U$58=$U$62,$U$62=$U$54,$U$38=$U$54),60,IF(AND($Q$63=3,$U$61=$U$60,$U$60=$U$58,$U$58=$U$62,$U$62=$U$54,$U$38=$U$54),40,""))))</f>
        <v/>
      </c>
      <c r="AE34" s="250">
        <f t="shared" si="1"/>
        <v>0</v>
      </c>
      <c r="AF34" s="186"/>
      <c r="AG34" s="238"/>
      <c r="AH34" s="238"/>
      <c r="AI34" s="238"/>
      <c r="AJ34" s="238"/>
    </row>
    <row r="35" spans="1:36" s="234" customFormat="1" ht="9.6" customHeight="1">
      <c r="A35" s="239">
        <v>15</v>
      </c>
      <c r="B35" s="251" t="str">
        <f>IF($D35="","",VLOOKUP($D35,'[2]m glavni turnir žrebna lista'!$A$7:$R$38,17))</f>
        <v/>
      </c>
      <c r="C35" s="251" t="str">
        <f>IF($D35="","",VLOOKUP($D35,'[2]m glavni turnir žrebna lista'!$A$7:$R$38,2))</f>
        <v/>
      </c>
      <c r="D35" s="225"/>
      <c r="E35" s="252" t="s">
        <v>3</v>
      </c>
      <c r="F35" s="252" t="str">
        <f>PROPER(IF($D35="","",VLOOKUP($D35,'[2]m glavni turnir žrebna lista'!$A$7:$R$38,4)))</f>
        <v/>
      </c>
      <c r="G35" s="252"/>
      <c r="H35" s="252" t="str">
        <f>IF($D35="","",VLOOKUP($D35,'[2]m glavni turnir žrebna lista'!$A$7:$R$38,5))</f>
        <v/>
      </c>
      <c r="I35" s="226" t="str">
        <f>IF($D35="","",VLOOKUP($D35,'[2]m glavni turnir žrebna lista'!$A$7:$R$38,14))</f>
        <v/>
      </c>
      <c r="J35" s="227"/>
      <c r="K35" s="264"/>
      <c r="L35" s="254"/>
      <c r="M35" s="262"/>
      <c r="N35" s="229"/>
      <c r="O35" s="230"/>
      <c r="P35" s="229"/>
      <c r="Q35" s="269"/>
      <c r="R35" s="233"/>
      <c r="U35" s="180" t="str">
        <f>IF($D35="","",VLOOKUP($D35,'[2]m glavni turnir žrebna lista'!$A$7:$R$38,2))</f>
        <v/>
      </c>
      <c r="V35" s="208">
        <v>29</v>
      </c>
      <c r="W35" s="208" t="str">
        <f>UPPER(IF($D63="","",VLOOKUP($D63,'[2]m glavni turnir žrebna lista'!$A$7:$R$38,3)))</f>
        <v>BENČINA JAKA</v>
      </c>
      <c r="X35" s="208" t="str">
        <f>PROPER(IF($D63="","",VLOOKUP($D63,'[2]m glavni turnir žrebna lista'!$A$7:$R$38,4)))</f>
        <v/>
      </c>
      <c r="Y35" s="209" t="str">
        <f t="shared" si="0"/>
        <v/>
      </c>
      <c r="Z35" s="209" t="str">
        <f>IF(Y35="","",IF(AND($Q$63=1,U64=U63),30,IF(AND($Q$63=2,U64=U63),15,IF(AND($Q$63=3,U64=U63),10,""))))</f>
        <v/>
      </c>
      <c r="AA35" s="209" t="str">
        <f>IF(Z35="","",IF(AND($Q$63=1,U63=U64,U64=U66),60,IF(AND($Q$63=2,U63=U64,U64=U66),30,IF(AND($Q$63=3,U63=U64,U64=U66),20,""))))</f>
        <v/>
      </c>
      <c r="AB35" s="209" t="str">
        <f>IF(AA35="","",IF(AND($Q$63=1,U62=U66,U66=U64,U64=U63),120,IF(AND($Q$63=2,U62=U66,U66=U64,U64=U63),60,IF(AND($Q$63=3,U62=U66,U66=U64,U64=U63),40,""))))</f>
        <v/>
      </c>
      <c r="AC35" s="209" t="str">
        <f>IF(AB35="","",IF(AND($Q$63=1,$U$63=$U$64,$U$64=$U$66,$U$66=$U$62,$U$62=$U$54),120,IF(AND($Q$63=2,$U$63=$U$64,$U$64=$U$66,$U$66=$U$62,$U$62=$U$54),60,IF(AND($Q$63=3,$U$63=$U$64,$U$64=$U$66,$U$66=$U$62,$U$62=$U$54),40,""))))</f>
        <v/>
      </c>
      <c r="AD35" s="209" t="str">
        <f>IF(AC35="","",IF(AND($Q$63=1,$U$63=$U$64,$U$64=$U$66,$U$66=$U$62,$U$62=$U$54,$U$38=$U$54),120,IF(AND($Q$63=2,$U$63=$U$64,$U$64=$U$66,$U$66=$U$62,$U$62=$U$54,$U$38=$U$54),60,IF(AND($Q$63=3,$U$63=$U$64,$U$64=$U$66,$U$66=$U$62,$U$62=$U$54,$U$38=$U$54),40,""))))</f>
        <v/>
      </c>
      <c r="AE35" s="237">
        <f t="shared" si="1"/>
        <v>0</v>
      </c>
      <c r="AF35" s="186"/>
      <c r="AG35" s="238"/>
      <c r="AH35" s="238"/>
      <c r="AI35" s="238"/>
      <c r="AJ35" s="238"/>
    </row>
    <row r="36" spans="1:36" s="234" customFormat="1" ht="9.6" customHeight="1">
      <c r="A36" s="239"/>
      <c r="B36" s="240"/>
      <c r="C36" s="240"/>
      <c r="D36" s="240"/>
      <c r="E36" s="241"/>
      <c r="F36" s="241"/>
      <c r="G36" s="242"/>
      <c r="H36" s="243" t="s">
        <v>87</v>
      </c>
      <c r="I36" s="244"/>
      <c r="J36" s="245" t="s">
        <v>123</v>
      </c>
      <c r="K36" s="266">
        <f>IF(OR(I36="a",I36="as"),I35,IF(OR(I36="b",I36="bs"),I37,))</f>
        <v>0</v>
      </c>
      <c r="L36" s="227"/>
      <c r="M36" s="262"/>
      <c r="N36" s="229"/>
      <c r="O36" s="230"/>
      <c r="P36" s="229"/>
      <c r="Q36" s="269"/>
      <c r="R36" s="233"/>
      <c r="U36" s="180" t="str">
        <f>IF(OR(I36="a",I36="as"),C35,IF(OR(I36="b",I36="bs"),C37,""))</f>
        <v/>
      </c>
      <c r="V36" s="208">
        <v>30</v>
      </c>
      <c r="W36" s="263" t="str">
        <f>UPPER(IF($D65="","",VLOOKUP($D65,'[2]m glavni turnir žrebna lista'!$A$7:$R$38,3)))</f>
        <v>LEVOVNIK JURE</v>
      </c>
      <c r="X36" s="263" t="str">
        <f>PROPER(IF($D65="","",VLOOKUP($D65,'[2]m glavni turnir žrebna lista'!$A$7:$R$38,4)))</f>
        <v/>
      </c>
      <c r="Y36" s="249" t="str">
        <f t="shared" si="0"/>
        <v/>
      </c>
      <c r="Z36" s="249" t="str">
        <f>IF(Y36="","",IF(AND($Q$63=1,U65=U64),30,IF(AND($Q$63=2,U65=U64),15,IF(AND($Q$63=3,U65=U64),10,""))))</f>
        <v/>
      </c>
      <c r="AA36" s="249" t="str">
        <f>IF(Z36="","",IF(AND($Q$63=1,U64=U65,U65=U66),60,IF(AND($Q$63=2,U64=U65,U65=U66),30,IF(AND($Q$63=3,U64=U65,U65=U66),20,""))))</f>
        <v/>
      </c>
      <c r="AB36" s="249" t="str">
        <f>IF(AA36="","",IF(AND($Q$63=1,U62=U66,U66=U64,U64=U65),120,IF(AND($Q$63=2,U62=U66,U66=U64,U64=U65),60,IF(AND($Q$63=3,U62=U66,U66=U64,U64=U65),40,""))))</f>
        <v/>
      </c>
      <c r="AC36" s="249" t="str">
        <f>IF(AB36="","",IF(AND($Q$63=1,$U$65=$U$64,$U$64=$U$66,$U$66=$U$62,$U$62=$U$54),120,IF(AND($Q$63=2,$U$65=$U$64,$U$64=$U$66,$U$66=$U$62,$U$62=$U$54),60,IF(AND($Q$63=3,$U$65=$U$64,$U$64=$U$66,$U$66=$U$62,$U$62=$U$54),40,""))))</f>
        <v/>
      </c>
      <c r="AD36" s="249" t="str">
        <f>IF(AC36="","",IF(AND($Q$63=1,$U$65=$U$64,$U$64=$U$66,$U$66=$U$62,$U$62=$U$54,$U$38=$U$54),120,IF(AND($Q$63=2,$U$65=$U$64,$U$64=$U$66,$U$66=$U$62,$U$62=$U$54,$U$38=$U$54),60,IF(AND($Q$63=3,$U$65=$U$64,$U$64=$U$66,$U$66=$U$62,$U$62=$U$54,$U$38=$U$54),40,""))))</f>
        <v/>
      </c>
      <c r="AE36" s="250">
        <f t="shared" si="1"/>
        <v>0</v>
      </c>
      <c r="AF36" s="186"/>
      <c r="AG36" s="238"/>
      <c r="AH36" s="238"/>
      <c r="AI36" s="238"/>
      <c r="AJ36" s="238"/>
    </row>
    <row r="37" spans="1:36" s="234" customFormat="1" ht="9.6" customHeight="1">
      <c r="A37" s="223">
        <v>16</v>
      </c>
      <c r="B37" s="224">
        <f>IF($D37="","",VLOOKUP($D37,'[2]m glavni turnir žrebna lista'!$A$7:$R$38,17))</f>
        <v>0</v>
      </c>
      <c r="C37" s="224">
        <f>IF($D37="","",VLOOKUP($D37,'[2]m glavni turnir žrebna lista'!$A$7:$R$38,2))</f>
        <v>0</v>
      </c>
      <c r="D37" s="225">
        <v>5</v>
      </c>
      <c r="E37" s="224" t="str">
        <f>UPPER(IF($D37="","",VLOOKUP($D37,'[2]m glavni turnir žrebna lista'!$A$7:$R$38,3)))</f>
        <v>LOPATIČ MARKO</v>
      </c>
      <c r="F37" s="224" t="str">
        <f>PROPER(IF($D37="","",VLOOKUP($D37,'[2]m glavni turnir žrebna lista'!$A$7:$R$38,4)))</f>
        <v>5</v>
      </c>
      <c r="G37" s="224"/>
      <c r="H37" s="224">
        <f>IF($D37="","",VLOOKUP($D37,'[2]m glavni turnir žrebna lista'!$A$7:$R$38,5))</f>
        <v>0</v>
      </c>
      <c r="I37" s="253">
        <f>IF($D37="","",VLOOKUP($D37,'[2]m glavni turnir žrebna lista'!$A$7:$R$38,14))</f>
        <v>0</v>
      </c>
      <c r="J37" s="254"/>
      <c r="K37" s="228"/>
      <c r="L37" s="227"/>
      <c r="M37" s="262"/>
      <c r="N37" s="230"/>
      <c r="O37" s="230"/>
      <c r="P37" s="229"/>
      <c r="Q37" s="269"/>
      <c r="R37" s="233"/>
      <c r="U37" s="180">
        <f>IF($D37="","",VLOOKUP($D37,'[2]m glavni turnir žrebna lista'!$A$7:$R$38,2))</f>
        <v>0</v>
      </c>
      <c r="V37" s="208">
        <v>31</v>
      </c>
      <c r="W37" s="208" t="str">
        <f>UPPER(IF($D67="","",VLOOKUP($D67,'[2]m glavni turnir žrebna lista'!$A$7:$R$38,3)))</f>
        <v/>
      </c>
      <c r="X37" s="208" t="str">
        <f>PROPER(IF($D67="","",VLOOKUP($D67,'[2]m glavni turnir žrebna lista'!$A$7:$R$38,4)))</f>
        <v/>
      </c>
      <c r="Y37" s="209" t="str">
        <f t="shared" si="0"/>
        <v/>
      </c>
      <c r="Z37" s="209" t="str">
        <f>IF(Y37="","",IF(AND($Q$63=1,U68=U67),30,IF(AND($Q$63=2,U68=U67),15,IF(AND($Q$63=3,U68=U67),10,""))))</f>
        <v/>
      </c>
      <c r="AA37" s="209" t="str">
        <f>IF(Z37="","",IF(AND($Q$63=1,U68=U66,U66=U67),60,IF(AND($Q$63=2,U68=U66,U66=U67),30,IF(AND($Q$63=3,U68=U66,U66=U67),20,""))))</f>
        <v/>
      </c>
      <c r="AB37" s="209" t="str">
        <f>IF(AA37="","",IF(AND($Q$63=1,U62=U66,U66=U68,U68=U67),120,IF(AND($Q$63=2,U62=U66,U66=U68,U68=U67),60,IF(AND($Q$63=3,U62=U66,U66=U68,U68=U67),40,""))))</f>
        <v/>
      </c>
      <c r="AC37" s="209" t="str">
        <f>IF(AB37="","",IF(AND($Q$63=1,$U$67=$U$68,$U$68=$U$66,$U$66=$U$62,$U$62=$U$54),120,IF(AND($Q$63=2,$U$67=$U$68,$U$68=$U$66,$U$66=$U$62,$U$62=$U$54),60,IF(AND($Q$63=3,$U$67=$U$68,$U$68=$U$66,$U$66=$U$62,$U$62=$U$54),40,""))))</f>
        <v/>
      </c>
      <c r="AD37" s="209" t="str">
        <f>IF(AC37="","",IF(AND($Q$63=1,$U$67=$U$68,$U$68=$U$66,$U$66=$U$62,$U$62=$U$54,$U$38=$U$54),120,IF(AND($Q$63=2,$U$67=$U$68,$U$68=$U$66,$U$66=$U$62,$U$62=$U$54,$U$38=$U$54),60,IF(AND($Q$63=3,$U$67=$U$68,$U$68=$U$66,$U$66=$U$62,$U$62=$U$54,$U$38=$U$54),40,""))))</f>
        <v/>
      </c>
      <c r="AE37" s="237">
        <f t="shared" si="1"/>
        <v>0</v>
      </c>
      <c r="AF37" s="186"/>
      <c r="AG37" s="238"/>
      <c r="AH37" s="238"/>
      <c r="AI37" s="238"/>
      <c r="AJ37" s="238"/>
    </row>
    <row r="38" spans="1:36" s="234" customFormat="1" ht="9.6" customHeight="1">
      <c r="A38" s="239"/>
      <c r="B38" s="240"/>
      <c r="C38" s="240"/>
      <c r="D38" s="240"/>
      <c r="E38" s="241"/>
      <c r="F38" s="241"/>
      <c r="G38" s="242"/>
      <c r="H38" s="241"/>
      <c r="I38" s="257"/>
      <c r="J38" s="227"/>
      <c r="K38" s="228"/>
      <c r="L38" s="227"/>
      <c r="M38" s="262"/>
      <c r="N38" s="277" t="s">
        <v>85</v>
      </c>
      <c r="O38" s="278"/>
      <c r="P38" s="259" t="str">
        <f>UPPER(IF(OR(O39="a",O39="as"),P22,IF(OR(O39="b",O39="bs"),P54,)))</f>
        <v/>
      </c>
      <c r="Q38" s="279"/>
      <c r="R38" s="233"/>
      <c r="U38" s="180" t="str">
        <f>IF(OR(O39="a",O39="as"),U22,IF(OR(O39="b",O39="bs"),U54,""))</f>
        <v/>
      </c>
      <c r="V38" s="208">
        <v>32</v>
      </c>
      <c r="W38" s="263" t="str">
        <f>UPPER(IF($D69="","",VLOOKUP($D69,'[2]m glavni turnir žrebna lista'!$A$7:$R$38,3)))</f>
        <v>MAČEK ALEŠ</v>
      </c>
      <c r="X38" s="263" t="str">
        <f>PROPER(IF($D69="","",VLOOKUP($D69,'[2]m glavni turnir žrebna lista'!$A$7:$R$38,4)))</f>
        <v>2</v>
      </c>
      <c r="Y38" s="249" t="str">
        <f t="shared" si="0"/>
        <v/>
      </c>
      <c r="Z38" s="249" t="str">
        <f>IF(Y38="","",IF(AND($Q$63=1,U69=U68),30,IF(AND($Q$63=2,U69=U68),15,IF(AND($Q$63=3,U69=U68),10,""))))</f>
        <v/>
      </c>
      <c r="AA38" s="249" t="str">
        <f>IF(Z38="","",IF(AND($Q$63=1,U69=U66,U66=U68),60,IF(AND($Q$63=2,U69=U66,U66=U68),30,IF(AND($Q$63=3,U69=U66,U66=U68),20,""))))</f>
        <v/>
      </c>
      <c r="AB38" s="249" t="str">
        <f>IF(AA38="","",IF(AND($Q$63=1,U62=U66,U66=U68,U68=U69),120,IF(AND($Q$63=2,U62=U66,U66=U68,U68=U69),60,IF(AND($Q$63=3,U62=U66,U66=U68,U68=U69),40,""))))</f>
        <v/>
      </c>
      <c r="AC38" s="249" t="str">
        <f>IF(AB38="","",IF(AND($Q$63=1,$U$69=$U$68,$U$68=$U$66,$U$66=$U$62,$U$62=$U$54),120,IF(AND($Q$63=2,$U$69=$U$68,$U$68=$U$66,$U$66=$U$62,$U$62=$U$54),60,IF(AND($Q$63=3,$U$69=$U$68,$U$68=$U$66,$U$66=$U$62,$U$62=$U$54),40,""))))</f>
        <v/>
      </c>
      <c r="AD38" s="249" t="str">
        <f>IF(AC38="","",IF(AND($Q$63=1,$U$69=$U$68,$U$68=$U$66,$U$66=$U$62,$U$62=$U$54,$U$38=$U$54),120,IF(AND($Q$63=2,$U$69=$U$68,$U$68=$U$66,$U$66=$U$62,$U$62=$U$54,$U$38=$U$54),60,IF(AND($Q$63=3,$U$69=$U$68,$U$68=$U$66,$U$66=$U$62,$U$62=$U$54,$U$38=$U$54),40,""))))</f>
        <v/>
      </c>
      <c r="AE38" s="250">
        <f t="shared" si="1"/>
        <v>0</v>
      </c>
      <c r="AF38" s="186"/>
      <c r="AG38" s="238"/>
      <c r="AH38" s="238"/>
      <c r="AI38" s="238"/>
      <c r="AJ38" s="238"/>
    </row>
    <row r="39" spans="1:36" s="234" customFormat="1" ht="9.6" customHeight="1">
      <c r="A39" s="223">
        <v>17</v>
      </c>
      <c r="B39" s="224">
        <f>IF($D39="","",VLOOKUP($D39,'[2]m glavni turnir žrebna lista'!$A$7:$R$38,17))</f>
        <v>0</v>
      </c>
      <c r="C39" s="224">
        <f>IF($D39="","",VLOOKUP($D39,'[2]m glavni turnir žrebna lista'!$A$7:$R$38,2))</f>
        <v>0</v>
      </c>
      <c r="D39" s="225">
        <v>6</v>
      </c>
      <c r="E39" s="224" t="str">
        <f>UPPER(IF($D39="","",VLOOKUP($D39,'[2]m glavni turnir žrebna lista'!$A$7:$R$38,3)))</f>
        <v>OMANOVIĆ ELVIN</v>
      </c>
      <c r="F39" s="224" t="str">
        <f>PROPER(IF($D39="","",VLOOKUP($D39,'[2]m glavni turnir žrebna lista'!$A$7:$R$38,4)))</f>
        <v>6</v>
      </c>
      <c r="G39" s="224"/>
      <c r="H39" s="224">
        <f>IF($D39="","",VLOOKUP($D39,'[2]m glavni turnir žrebna lista'!$A$7:$R$38,5))</f>
        <v>0</v>
      </c>
      <c r="I39" s="226">
        <f>IF($D39="","",VLOOKUP($D39,'[2]m glavni turnir žrebna lista'!$A$7:$R$38,14))</f>
        <v>0</v>
      </c>
      <c r="J39" s="227"/>
      <c r="K39" s="228"/>
      <c r="L39" s="227"/>
      <c r="M39" s="262"/>
      <c r="N39" s="243" t="s">
        <v>87</v>
      </c>
      <c r="O39" s="280"/>
      <c r="P39" s="254"/>
      <c r="Q39" s="269"/>
      <c r="R39" s="233"/>
      <c r="U39" s="180">
        <f>IF($D39="","",VLOOKUP($D39,'[2]m glavni turnir žrebna lista'!$A$7:$R$38,2))</f>
        <v>0</v>
      </c>
      <c r="V39" s="238"/>
      <c r="W39" s="238"/>
      <c r="X39" s="238"/>
      <c r="Y39" s="184">
        <f>COUNTIF(Y7:Y38,"&gt;0")</f>
        <v>0</v>
      </c>
      <c r="Z39" s="184">
        <f aca="true" t="shared" si="2" ref="Z39:AE39">COUNTIF(Z7:Z38,"&gt;0")</f>
        <v>0</v>
      </c>
      <c r="AA39" s="184">
        <f t="shared" si="2"/>
        <v>0</v>
      </c>
      <c r="AB39" s="184">
        <f t="shared" si="2"/>
        <v>0</v>
      </c>
      <c r="AC39" s="184">
        <f t="shared" si="2"/>
        <v>0</v>
      </c>
      <c r="AD39" s="184">
        <f t="shared" si="2"/>
        <v>0</v>
      </c>
      <c r="AE39" s="184">
        <f t="shared" si="2"/>
        <v>0</v>
      </c>
      <c r="AF39" s="186"/>
      <c r="AG39" s="238"/>
      <c r="AH39" s="238"/>
      <c r="AI39" s="238"/>
      <c r="AJ39" s="238"/>
    </row>
    <row r="40" spans="1:36" s="234" customFormat="1" ht="9.6" customHeight="1">
      <c r="A40" s="239"/>
      <c r="B40" s="240"/>
      <c r="C40" s="240"/>
      <c r="D40" s="240"/>
      <c r="E40" s="241"/>
      <c r="F40" s="241"/>
      <c r="G40" s="242"/>
      <c r="H40" s="243" t="s">
        <v>87</v>
      </c>
      <c r="I40" s="244" t="s">
        <v>121</v>
      </c>
      <c r="J40" s="245" t="str">
        <f>UPPER(IF(OR(I40="a",I40="as"),E39,IF(OR(I40="b",I40="bs"),E41,)))</f>
        <v>OMANOVIĆ ELVIN</v>
      </c>
      <c r="K40" s="246">
        <f>IF(OR(I40="a",I40="as"),I39,IF(OR(I40="b",I40="bs"),I41,))</f>
        <v>0</v>
      </c>
      <c r="L40" s="227"/>
      <c r="M40" s="262"/>
      <c r="N40" s="229"/>
      <c r="O40" s="230"/>
      <c r="P40" s="229"/>
      <c r="Q40" s="269"/>
      <c r="R40" s="233"/>
      <c r="U40" s="180">
        <f>IF(OR(I40="a",I40="as"),C39,IF(OR(I40="b",I40="bs"),C41,""))</f>
        <v>0</v>
      </c>
      <c r="V40" s="238"/>
      <c r="W40" s="238"/>
      <c r="X40" s="238"/>
      <c r="Y40" s="238"/>
      <c r="Z40" s="238"/>
      <c r="AA40" s="238"/>
      <c r="AB40" s="238"/>
      <c r="AC40" s="238"/>
      <c r="AD40" s="238"/>
      <c r="AE40" s="238"/>
      <c r="AF40" s="186"/>
      <c r="AG40" s="238"/>
      <c r="AH40" s="238"/>
      <c r="AI40" s="238"/>
      <c r="AJ40" s="238"/>
    </row>
    <row r="41" spans="1:36" s="234" customFormat="1" ht="9.6" customHeight="1">
      <c r="A41" s="239">
        <v>18</v>
      </c>
      <c r="B41" s="251" t="str">
        <f>IF($D41="","",VLOOKUP($D41,'[2]m glavni turnir žrebna lista'!$A$7:$R$38,17))</f>
        <v/>
      </c>
      <c r="C41" s="251" t="str">
        <f>IF($D41="","",VLOOKUP($D41,'[2]m glavni turnir žrebna lista'!$A$7:$R$38,2))</f>
        <v/>
      </c>
      <c r="D41" s="225"/>
      <c r="E41" s="252" t="s">
        <v>3</v>
      </c>
      <c r="F41" s="252" t="str">
        <f>PROPER(IF($D41="","",VLOOKUP($D41,'[2]m glavni turnir žrebna lista'!$A$7:$R$38,4)))</f>
        <v/>
      </c>
      <c r="G41" s="252"/>
      <c r="H41" s="252" t="str">
        <f>IF($D41="","",VLOOKUP($D41,'[2]m glavni turnir žrebna lista'!$A$7:$R$38,5))</f>
        <v/>
      </c>
      <c r="I41" s="253" t="str">
        <f>IF($D41="","",VLOOKUP($D41,'[2]m glavni turnir žrebna lista'!$A$7:$R$38,14))</f>
        <v/>
      </c>
      <c r="J41" s="254"/>
      <c r="K41" s="255"/>
      <c r="L41" s="227"/>
      <c r="M41" s="262"/>
      <c r="N41" s="229"/>
      <c r="O41" s="230"/>
      <c r="P41" s="229"/>
      <c r="Q41" s="269"/>
      <c r="R41" s="233"/>
      <c r="U41" s="180" t="str">
        <f>IF($D41="","",VLOOKUP($D41,'[2]m glavni turnir žrebna lista'!$A$7:$R$38,2))</f>
        <v/>
      </c>
      <c r="V41" s="525" t="s">
        <v>93</v>
      </c>
      <c r="W41" s="525"/>
      <c r="X41" s="525"/>
      <c r="Y41" s="525"/>
      <c r="Z41" s="525"/>
      <c r="AA41" s="281"/>
      <c r="AB41" s="281"/>
      <c r="AC41" s="281"/>
      <c r="AD41" s="281"/>
      <c r="AE41" s="282"/>
      <c r="AF41" s="283"/>
      <c r="AG41" s="284" t="s">
        <v>94</v>
      </c>
      <c r="AH41" s="283"/>
      <c r="AI41" s="283"/>
      <c r="AJ41" s="283"/>
    </row>
    <row r="42" spans="1:36" s="234" customFormat="1" ht="9.6" customHeight="1">
      <c r="A42" s="239"/>
      <c r="B42" s="240"/>
      <c r="C42" s="240"/>
      <c r="D42" s="256"/>
      <c r="E42" s="241"/>
      <c r="F42" s="241"/>
      <c r="G42" s="242"/>
      <c r="H42" s="241"/>
      <c r="I42" s="257"/>
      <c r="J42" s="243" t="s">
        <v>87</v>
      </c>
      <c r="K42" s="258"/>
      <c r="L42" s="259" t="str">
        <f>UPPER(IF(OR(K42="a",K42="as"),J40,IF(OR(K42="b",K42="bs"),J44,)))</f>
        <v/>
      </c>
      <c r="M42" s="260">
        <f>IF(OR(K42="a",K42="as"),K40,IF(OR(K42="b",K42="bs"),K44,))</f>
        <v>0</v>
      </c>
      <c r="N42" s="229"/>
      <c r="O42" s="230"/>
      <c r="P42" s="229"/>
      <c r="Q42" s="269"/>
      <c r="R42" s="233"/>
      <c r="U42" s="180" t="str">
        <f>IF(OR(K42="a",K42="as"),U40,IF(OR(K42="b",K42="bs"),U44,""))</f>
        <v/>
      </c>
      <c r="V42" s="283"/>
      <c r="W42" s="285"/>
      <c r="X42" s="286"/>
      <c r="Y42" s="281"/>
      <c r="Z42" s="281"/>
      <c r="AA42" s="281"/>
      <c r="AB42" s="281"/>
      <c r="AC42" s="281"/>
      <c r="AD42" s="281"/>
      <c r="AE42" s="282"/>
      <c r="AF42" s="283"/>
      <c r="AG42" s="283"/>
      <c r="AH42" s="283"/>
      <c r="AI42" s="283"/>
      <c r="AJ42" s="283"/>
    </row>
    <row r="43" spans="1:36" s="234" customFormat="1" ht="9.6" customHeight="1">
      <c r="A43" s="239">
        <v>19</v>
      </c>
      <c r="B43" s="251">
        <f>IF($D43="","",VLOOKUP($D43,'[2]m glavni turnir žrebna lista'!$A$7:$R$38,17))</f>
        <v>0</v>
      </c>
      <c r="C43" s="251">
        <f>IF($D43="","",VLOOKUP($D43,'[2]m glavni turnir žrebna lista'!$A$7:$R$38,2))</f>
        <v>0</v>
      </c>
      <c r="D43" s="225">
        <v>17</v>
      </c>
      <c r="E43" s="252" t="str">
        <f>UPPER(IF($D43="","",VLOOKUP($D43,'[2]m glavni turnir žrebna lista'!$A$7:$R$38,3)))</f>
        <v>KVAS MIHA</v>
      </c>
      <c r="F43" s="252" t="str">
        <f>PROPER(IF($D43="","",VLOOKUP($D43,'[2]m glavni turnir žrebna lista'!$A$7:$R$38,4)))</f>
        <v/>
      </c>
      <c r="G43" s="252"/>
      <c r="H43" s="252">
        <f>IF($D43="","",VLOOKUP($D43,'[2]m glavni turnir žrebna lista'!$A$7:$R$38,5))</f>
        <v>0</v>
      </c>
      <c r="I43" s="226">
        <f>IF($D43="","",VLOOKUP($D43,'[2]m glavni turnir žrebna lista'!$A$7:$R$38,14))</f>
        <v>0</v>
      </c>
      <c r="J43" s="227"/>
      <c r="K43" s="264"/>
      <c r="L43" s="254"/>
      <c r="M43" s="265"/>
      <c r="N43" s="229"/>
      <c r="O43" s="230"/>
      <c r="P43" s="229"/>
      <c r="Q43" s="269"/>
      <c r="R43" s="233"/>
      <c r="U43" s="180">
        <f>IF($D43="","",VLOOKUP($D43,'[2]m glavni turnir žrebna lista'!$A$7:$R$38,2))</f>
        <v>0</v>
      </c>
      <c r="V43" s="287" t="s">
        <v>81</v>
      </c>
      <c r="W43" s="285" t="s">
        <v>75</v>
      </c>
      <c r="X43" s="285" t="s">
        <v>76</v>
      </c>
      <c r="Y43" s="281" t="s">
        <v>82</v>
      </c>
      <c r="Z43" s="281" t="s">
        <v>83</v>
      </c>
      <c r="AA43" s="281" t="s">
        <v>78</v>
      </c>
      <c r="AB43" s="281" t="s">
        <v>79</v>
      </c>
      <c r="AC43" s="281" t="s">
        <v>80</v>
      </c>
      <c r="AD43" s="281"/>
      <c r="AE43" s="288" t="s">
        <v>86</v>
      </c>
      <c r="AF43" s="283"/>
      <c r="AG43" s="285" t="s">
        <v>75</v>
      </c>
      <c r="AH43" s="285" t="s">
        <v>76</v>
      </c>
      <c r="AI43" s="285" t="s">
        <v>66</v>
      </c>
      <c r="AJ43" s="284" t="s">
        <v>86</v>
      </c>
    </row>
    <row r="44" spans="1:36" s="234" customFormat="1" ht="9.6" customHeight="1">
      <c r="A44" s="239"/>
      <c r="B44" s="240"/>
      <c r="C44" s="240"/>
      <c r="D44" s="256"/>
      <c r="E44" s="241"/>
      <c r="F44" s="241"/>
      <c r="G44" s="242"/>
      <c r="H44" s="243" t="s">
        <v>87</v>
      </c>
      <c r="I44" s="244"/>
      <c r="J44" s="259" t="str">
        <f>UPPER(IF(OR(I44="a",I44="as"),E43,IF(OR(I44="b",I44="bs"),E45,)))</f>
        <v/>
      </c>
      <c r="K44" s="266">
        <f>IF(OR(I44="a",I44="as"),I43,IF(OR(I44="b",I44="bs"),I45,))</f>
        <v>0</v>
      </c>
      <c r="L44" s="227"/>
      <c r="M44" s="265"/>
      <c r="N44" s="229"/>
      <c r="O44" s="230"/>
      <c r="P44" s="229"/>
      <c r="Q44" s="269"/>
      <c r="R44" s="233"/>
      <c r="S44" s="289"/>
      <c r="T44" s="290"/>
      <c r="U44" s="291" t="str">
        <f>IF(OR(I44="a",I44="as"),C43,IF(OR(I44="b",I44="bs"),C45,""))</f>
        <v/>
      </c>
      <c r="V44" s="285"/>
      <c r="W44" s="285"/>
      <c r="X44" s="285"/>
      <c r="Y44" s="281"/>
      <c r="Z44" s="281"/>
      <c r="AA44" s="281"/>
      <c r="AB44" s="281"/>
      <c r="AC44" s="281"/>
      <c r="AD44" s="281"/>
      <c r="AE44" s="292"/>
      <c r="AF44" s="283"/>
      <c r="AG44" s="283"/>
      <c r="AH44" s="283"/>
      <c r="AI44" s="283"/>
      <c r="AJ44" s="293"/>
    </row>
    <row r="45" spans="1:36" s="234" customFormat="1" ht="9.6" customHeight="1">
      <c r="A45" s="239">
        <v>20</v>
      </c>
      <c r="B45" s="251">
        <f>IF($D45="","",VLOOKUP($D45,'[2]m glavni turnir žrebna lista'!$A$7:$R$38,17))</f>
        <v>0</v>
      </c>
      <c r="C45" s="251">
        <f>IF($D45="","",VLOOKUP($D45,'[2]m glavni turnir žrebna lista'!$A$7:$R$38,2))</f>
        <v>0</v>
      </c>
      <c r="D45" s="225">
        <v>20</v>
      </c>
      <c r="E45" s="252" t="str">
        <f>UPPER(IF($D45="","",VLOOKUP($D45,'[2]m glavni turnir žrebna lista'!$A$7:$R$38,3)))</f>
        <v>SMERKOL ROK</v>
      </c>
      <c r="F45" s="252" t="str">
        <f>PROPER(IF($D45="","",VLOOKUP($D45,'[2]m glavni turnir žrebna lista'!$A$7:$R$38,4)))</f>
        <v/>
      </c>
      <c r="G45" s="252"/>
      <c r="H45" s="252">
        <f>IF($D45="","",VLOOKUP($D45,'[2]m glavni turnir žrebna lista'!$A$7:$R$38,5))</f>
        <v>0</v>
      </c>
      <c r="I45" s="253">
        <f>IF($D45="","",VLOOKUP($D45,'[2]m glavni turnir žrebna lista'!$A$7:$R$38,14))</f>
        <v>0</v>
      </c>
      <c r="J45" s="254"/>
      <c r="K45" s="228"/>
      <c r="L45" s="227"/>
      <c r="M45" s="265"/>
      <c r="N45" s="229"/>
      <c r="O45" s="230"/>
      <c r="P45" s="229"/>
      <c r="Q45" s="269"/>
      <c r="R45" s="233"/>
      <c r="S45" s="290"/>
      <c r="T45" s="290"/>
      <c r="U45" s="291">
        <f>IF($D45="","",VLOOKUP($D45,'[2]m glavni turnir žrebna lista'!$A$7:$R$38,2))</f>
        <v>0</v>
      </c>
      <c r="V45" s="285">
        <v>1</v>
      </c>
      <c r="W45" s="294" t="str">
        <f>UPPER(IF($D$7="","",VLOOKUP($D$7,'[2]m glavni turnir žrebna lista'!$A$7:$R$38,3)))</f>
        <v>ŠKRJANC MARKO</v>
      </c>
      <c r="X45" s="285" t="str">
        <f>PROPER(IF($D$7="","",VLOOKUP($D$7,'[2]m glavni turnir žrebna lista'!$A$7:$R$38,4)))</f>
        <v>1</v>
      </c>
      <c r="Y45" s="295" t="str">
        <f>IF($W$45="","",IF($U$7&lt;&gt;$U$8,"",IF($J$9="bb",1,IF($J$9="","0",$I$9))))</f>
        <v>0</v>
      </c>
      <c r="Z45" s="281" t="str">
        <f>IF($W$45="","",IF($U$10&lt;&gt;$U$7,"",IF($L$11="bb",1,IF($L$11="","0",$K$12))))</f>
        <v/>
      </c>
      <c r="AA45" s="295" t="str">
        <f>IF($W$45="","",IF($U$14&lt;&gt;$U$7,"",IF($N$15="bb",1,IF($N$15="","0",$M$18))))</f>
        <v/>
      </c>
      <c r="AB45" s="295" t="str">
        <f>IF($W$45="","",IF($U$22&lt;&gt;$U$7,"",IF($P$23="bb",1,IF($P$23="","0",$O$30))))</f>
        <v/>
      </c>
      <c r="AC45" s="296" t="str">
        <f>IF($W$45="","",IF($U$38&lt;&gt;$U$7,"",IF($P$39="bb",1,IF($P$39="","0",$Q$54))))</f>
        <v/>
      </c>
      <c r="AD45" s="281"/>
      <c r="AE45" s="292">
        <f>IF($C$2="B turnir",SUM(Y45:AD45)*0.1,SUM(Y45:AD45))</f>
        <v>0</v>
      </c>
      <c r="AF45" s="283">
        <f>IF($C7="","",'m glavni 35+'!$C$7)</f>
        <v>0</v>
      </c>
      <c r="AG45" s="285" t="str">
        <f>UPPER(IF($D$7="","",VLOOKUP($D$7,'[2]m glavni turnir žrebna lista'!$A$7:$R$38,3)))</f>
        <v>ŠKRJANC MARKO</v>
      </c>
      <c r="AH45" s="285" t="str">
        <f>PROPER(IF($D$7="","",VLOOKUP($D$7,'[2]m glavni turnir žrebna lista'!$A$7:$R$38,4)))</f>
        <v>1</v>
      </c>
      <c r="AI45" s="285" t="str">
        <f>UPPER(IF($D$7="","",VLOOKUP($D$7,'[2]m glavni turnir žrebna lista'!$A$7:$R$38,5)))</f>
        <v/>
      </c>
      <c r="AJ45" s="292">
        <f>SUM(AE7,AE45)</f>
        <v>0</v>
      </c>
    </row>
    <row r="46" spans="1:36" s="234" customFormat="1" ht="9.6" customHeight="1">
      <c r="A46" s="239"/>
      <c r="B46" s="240"/>
      <c r="C46" s="240"/>
      <c r="D46" s="256"/>
      <c r="E46" s="227"/>
      <c r="F46" s="227"/>
      <c r="G46" s="267"/>
      <c r="H46" s="268"/>
      <c r="I46" s="257"/>
      <c r="J46" s="227"/>
      <c r="K46" s="228"/>
      <c r="L46" s="243" t="s">
        <v>87</v>
      </c>
      <c r="M46" s="258"/>
      <c r="N46" s="259" t="str">
        <f>UPPER(IF(OR(M46="a",M46="as"),L42,IF(OR(M46="b",M46="bs"),L50,)))</f>
        <v/>
      </c>
      <c r="O46" s="297">
        <f>IF(OR(M46="a",M46="as"),M42,IF(OR(M46="b",M46="bs"),M50,))</f>
        <v>0</v>
      </c>
      <c r="P46" s="229"/>
      <c r="Q46" s="269"/>
      <c r="R46" s="233"/>
      <c r="S46" s="298"/>
      <c r="T46" s="290"/>
      <c r="U46" s="291" t="str">
        <f>IF(OR(M46="a",M46="as"),U42,IF(OR(M46="b",M46="bs"),U50,""))</f>
        <v/>
      </c>
      <c r="V46" s="285">
        <v>2</v>
      </c>
      <c r="W46" s="285" t="str">
        <f>UPPER(IF($D$9="","",VLOOKUP($D$9,'[2]m glavni turnir žrebna lista'!$A$7:$R$38,3)))</f>
        <v/>
      </c>
      <c r="X46" s="285" t="str">
        <f>PROPER(IF($D$9="","",VLOOKUP($D$9,'[2]m glavni turnir žrebna lista'!$A$7:$R$38,4)))</f>
        <v/>
      </c>
      <c r="Y46" s="281" t="str">
        <f>IF(W46="","",IF($U$9&lt;&gt;$U$8,"",IF($J$9="bb",1,IF($J$9="","0",$I$7))))</f>
        <v/>
      </c>
      <c r="Z46" s="281" t="str">
        <f>IF($W$45="","",IF($U$10&lt;&gt;$U$9,"",IF($L$11="bb",1,IF($L$11="","0",$K$12))))</f>
        <v>0</v>
      </c>
      <c r="AA46" s="281" t="str">
        <f>IF($W$45="","",IF($U$14&lt;&gt;$U$9,"",IF($N$15="bb",1,IF($N$15="","0",$M$18))))</f>
        <v>0</v>
      </c>
      <c r="AB46" s="281" t="str">
        <f>IF($W$45="","",IF($U$22&lt;&gt;$U$9,"",IF($P$23="bb",1,IF($P$23="","0",$O$30))))</f>
        <v>0</v>
      </c>
      <c r="AC46" s="281" t="str">
        <f>IF($W$45="","",IF($U$38&lt;&gt;$U$9,"",IF($P$39="bb",1,IF($P$39="","0",$Q$54))))</f>
        <v>0</v>
      </c>
      <c r="AD46" s="281"/>
      <c r="AE46" s="292">
        <f aca="true" t="shared" si="3" ref="AE46:AE76">IF($C$2="B turnir",SUM(Y46:AD46)*0.1,SUM(Y46:AD46))</f>
        <v>0</v>
      </c>
      <c r="AF46" s="283" t="str">
        <f>IF($C9="","",'m glavni 35+'!$C$9)</f>
        <v/>
      </c>
      <c r="AG46" s="285" t="str">
        <f>UPPER(IF($D$9="","",VLOOKUP($D$9,'[2]m glavni turnir žrebna lista'!$A$7:$R$38,3)))</f>
        <v/>
      </c>
      <c r="AH46" s="285" t="str">
        <f>PROPER(IF($D$9="","",VLOOKUP($D$9,'[2]m glavni turnir žrebna lista'!$A$7:$R$38,4)))</f>
        <v/>
      </c>
      <c r="AI46" s="285" t="str">
        <f>UPPER(IF($D$9="","",VLOOKUP($D$9,'[2]m glavni turnir žrebna lista'!$A$7:$R$38,5)))</f>
        <v/>
      </c>
      <c r="AJ46" s="292">
        <f>SUM(AE8,AE46)</f>
        <v>0</v>
      </c>
    </row>
    <row r="47" spans="1:36" s="234" customFormat="1" ht="9.6" customHeight="1">
      <c r="A47" s="239">
        <v>21</v>
      </c>
      <c r="B47" s="251">
        <f>IF($D47="","",VLOOKUP($D47,'[2]m glavni turnir žrebna lista'!$A$7:$R$38,17))</f>
        <v>0</v>
      </c>
      <c r="C47" s="251">
        <f>IF($D47="","",VLOOKUP($D47,'[2]m glavni turnir žrebna lista'!$A$7:$R$38,2))</f>
        <v>0</v>
      </c>
      <c r="D47" s="225">
        <v>14</v>
      </c>
      <c r="E47" s="252" t="str">
        <f>UPPER(IF($D47="","",VLOOKUP($D47,'[2]m glavni turnir žrebna lista'!$A$7:$R$38,3)))</f>
        <v>JOLIČ RADE</v>
      </c>
      <c r="F47" s="252" t="str">
        <f>PROPER(IF($D47="","",VLOOKUP($D47,'[2]m glavni turnir žrebna lista'!$A$7:$R$38,4)))</f>
        <v/>
      </c>
      <c r="G47" s="252"/>
      <c r="H47" s="252">
        <f>IF($D47="","",VLOOKUP($D47,'[2]m glavni turnir žrebna lista'!$A$7:$R$38,5))</f>
        <v>0</v>
      </c>
      <c r="I47" s="226">
        <f>IF($D47="","",VLOOKUP($D47,'[2]m glavni turnir žrebna lista'!$A$7:$R$38,14))</f>
        <v>0</v>
      </c>
      <c r="J47" s="227"/>
      <c r="K47" s="228"/>
      <c r="L47" s="227"/>
      <c r="M47" s="265"/>
      <c r="N47" s="254"/>
      <c r="O47" s="269"/>
      <c r="P47" s="229"/>
      <c r="Q47" s="269"/>
      <c r="R47" s="233"/>
      <c r="S47" s="299"/>
      <c r="T47" s="290"/>
      <c r="U47" s="291">
        <f>IF($D47="","",VLOOKUP($D47,'[2]m glavni turnir žrebna lista'!$A$7:$R$38,2))</f>
        <v>0</v>
      </c>
      <c r="V47" s="285">
        <v>3</v>
      </c>
      <c r="W47" s="285" t="str">
        <f>UPPER(IF($D$11="","",VLOOKUP($D$11,'[2]m glavni turnir žrebna lista'!$A$7:$R$38,3)))</f>
        <v>SMERKOL DAMJAN</v>
      </c>
      <c r="X47" s="285" t="str">
        <f>PROPER(IF($D$11="","",VLOOKUP($D$11,'[2]m glavni turnir žrebna lista'!$A$7:$R$38,4)))</f>
        <v/>
      </c>
      <c r="Y47" s="281" t="str">
        <f>IF(W47="","",IF($U$11&lt;&gt;$U$12,"",IF($J$13="bb",1,IF($J$13="","0",$I$13))))</f>
        <v/>
      </c>
      <c r="Z47" s="281" t="str">
        <f>IF($W$45="","",IF($U$10&lt;&gt;$U$11,"",IF($L$11="bb",1,IF($L$11="","0",$K$8))))</f>
        <v/>
      </c>
      <c r="AA47" s="281" t="str">
        <f>IF($W$45="","",IF($U$14&lt;&gt;$U$11,"",IF($N$15="bb",1,IF($N$15="","0",$M$18))))</f>
        <v/>
      </c>
      <c r="AB47" s="281" t="str">
        <f>IF($W$45="","",IF($U$22&lt;&gt;$U11,"",IF($P$23="bb",1,IF($P$23="","0",$O$30))))</f>
        <v/>
      </c>
      <c r="AC47" s="281" t="str">
        <f>IF($W$45="","",IF($U$38&lt;&gt;$U$11,"",IF($P$39="bb",1,IF($P$39="","0",$Q$54))))</f>
        <v/>
      </c>
      <c r="AD47" s="281"/>
      <c r="AE47" s="292">
        <f t="shared" si="3"/>
        <v>0</v>
      </c>
      <c r="AF47" s="283">
        <f>IF($C11="","",'m glavni 35+'!$C$11)</f>
        <v>0</v>
      </c>
      <c r="AG47" s="285" t="str">
        <f>UPPER(IF($D$11="","",VLOOKUP($D$11,'[2]m glavni turnir žrebna lista'!$A$7:$R$38,3)))</f>
        <v>SMERKOL DAMJAN</v>
      </c>
      <c r="AH47" s="285" t="str">
        <f>PROPER(IF($D$11="","",VLOOKUP($D$11,'[2]m glavni turnir žrebna lista'!$A$7:$R$38,4)))</f>
        <v/>
      </c>
      <c r="AI47" s="285" t="str">
        <f>UPPER(IF($D$11="","",VLOOKUP($D$11,'[2]m glavni turnir žrebna lista'!$A$7:$R$38,5)))</f>
        <v/>
      </c>
      <c r="AJ47" s="292">
        <f aca="true" t="shared" si="4" ref="AJ47:AJ76">SUM(AE9,AE47)</f>
        <v>0</v>
      </c>
    </row>
    <row r="48" spans="1:36" s="234" customFormat="1" ht="9.6" customHeight="1">
      <c r="A48" s="239"/>
      <c r="B48" s="240"/>
      <c r="C48" s="240"/>
      <c r="D48" s="256"/>
      <c r="E48" s="241"/>
      <c r="F48" s="241"/>
      <c r="G48" s="242"/>
      <c r="H48" s="243" t="s">
        <v>87</v>
      </c>
      <c r="I48" s="244"/>
      <c r="J48" s="259" t="str">
        <f>UPPER(IF(OR(I48="a",I48="as"),E47,IF(OR(I48="b",I48="bs"),E49,)))</f>
        <v/>
      </c>
      <c r="K48" s="246">
        <f>IF(OR(I48="a",I48="as"),I47,IF(OR(I48="b",I48="bs"),I49,))</f>
        <v>0</v>
      </c>
      <c r="L48" s="227"/>
      <c r="M48" s="265"/>
      <c r="N48" s="229"/>
      <c r="O48" s="269"/>
      <c r="P48" s="229"/>
      <c r="Q48" s="269"/>
      <c r="R48" s="233"/>
      <c r="S48" s="299"/>
      <c r="T48" s="290"/>
      <c r="U48" s="291" t="str">
        <f>IF(OR(I48="a",I48="as"),C47,IF(OR(I48="b",I48="bs"),C49,""))</f>
        <v/>
      </c>
      <c r="V48" s="285">
        <v>4</v>
      </c>
      <c r="W48" s="285" t="str">
        <f>UPPER(IF($D$13="","",VLOOKUP($D$13,'[2]m glavni turnir žrebna lista'!$A$7:$R$38,3)))</f>
        <v>GRAŠIĆ DAMJAN</v>
      </c>
      <c r="X48" s="285" t="str">
        <f>PROPER(IF($D$13="","",VLOOKUP($D$13,'[2]m glavni turnir žrebna lista'!$A$7:$R$38,4)))</f>
        <v/>
      </c>
      <c r="Y48" s="281" t="str">
        <f>IF(W48="","",IF($U$12&lt;&gt;$U$13,"",IF($J$13="bb",1,IF($J$13="","0",$I$11))))</f>
        <v/>
      </c>
      <c r="Z48" s="281" t="str">
        <f>IF($W$45="","",IF($U$10&lt;&gt;$U$13,"",IF($L$11="bb",1,IF($L$11="","0",$K$8))))</f>
        <v/>
      </c>
      <c r="AA48" s="281" t="str">
        <f>IF($W$45="","",IF($U$14&lt;&gt;$U$13,"",IF($N$15="bb",1,IF($N$15="","0",$M$18))))</f>
        <v/>
      </c>
      <c r="AB48" s="281" t="str">
        <f>IF($W$45="","",IF($U$22&lt;&gt;$U$13,"",IF($P$23="bb",1,IF($P$23="","0",$O$30))))</f>
        <v/>
      </c>
      <c r="AC48" s="281" t="str">
        <f>IF($W$45="","",IF($U$38&lt;&gt;$U$13,"",IF($P$39="bb",1,IF($P$39="","0",$Q$54))))</f>
        <v/>
      </c>
      <c r="AD48" s="281"/>
      <c r="AE48" s="292">
        <f t="shared" si="3"/>
        <v>0</v>
      </c>
      <c r="AF48" s="283">
        <f>IF($C13="","",'m glavni 35+'!$C$13)</f>
        <v>0</v>
      </c>
      <c r="AG48" s="285" t="str">
        <f>UPPER(IF($D$13="","",VLOOKUP($D$13,'[2]m glavni turnir žrebna lista'!$A$7:$R$38,3)))</f>
        <v>GRAŠIĆ DAMJAN</v>
      </c>
      <c r="AH48" s="285" t="str">
        <f>PROPER(IF($D$13="","",VLOOKUP($D$13,'[2]m glavni turnir žrebna lista'!$A$7:$R$38,4)))</f>
        <v/>
      </c>
      <c r="AI48" s="285" t="str">
        <f>UPPER(IF($D$13="","",VLOOKUP($D$13,'[2]m glavni turnir žrebna lista'!$A$7:$R$38,5)))</f>
        <v/>
      </c>
      <c r="AJ48" s="292">
        <f t="shared" si="4"/>
        <v>0</v>
      </c>
    </row>
    <row r="49" spans="1:36" s="234" customFormat="1" ht="9.6" customHeight="1">
      <c r="A49" s="239">
        <v>22</v>
      </c>
      <c r="B49" s="251">
        <f>IF($D49="","",VLOOKUP($D49,'[2]m glavni turnir žrebna lista'!$A$7:$R$38,17))</f>
        <v>0</v>
      </c>
      <c r="C49" s="251">
        <f>IF($D49="","",VLOOKUP($D49,'[2]m glavni turnir žrebna lista'!$A$7:$R$38,2))</f>
        <v>0</v>
      </c>
      <c r="D49" s="225">
        <v>15</v>
      </c>
      <c r="E49" s="252" t="str">
        <f>UPPER(IF($D49="","",VLOOKUP($D49,'[2]m glavni turnir žrebna lista'!$A$7:$R$38,3)))</f>
        <v>JOVANOVIČ ZORAN</v>
      </c>
      <c r="F49" s="252" t="str">
        <f>PROPER(IF($D49="","",VLOOKUP($D49,'[2]m glavni turnir žrebna lista'!$A$7:$R$38,4)))</f>
        <v/>
      </c>
      <c r="G49" s="252"/>
      <c r="H49" s="252">
        <f>IF($D49="","",VLOOKUP($D49,'[2]m glavni turnir žrebna lista'!$A$7:$R$38,5))</f>
        <v>0</v>
      </c>
      <c r="I49" s="253">
        <f>IF($D49="","",VLOOKUP($D49,'[2]m glavni turnir žrebna lista'!$A$7:$R$38,14))</f>
        <v>0</v>
      </c>
      <c r="J49" s="254"/>
      <c r="K49" s="255"/>
      <c r="L49" s="227"/>
      <c r="M49" s="265"/>
      <c r="N49" s="229"/>
      <c r="O49" s="269"/>
      <c r="P49" s="229"/>
      <c r="Q49" s="269"/>
      <c r="R49" s="233"/>
      <c r="S49" s="299"/>
      <c r="T49" s="290"/>
      <c r="U49" s="291">
        <f>IF($D49="","",VLOOKUP($D49,'[2]m glavni turnir žrebna lista'!$A$7:$R$38,2))</f>
        <v>0</v>
      </c>
      <c r="V49" s="285">
        <v>5</v>
      </c>
      <c r="W49" s="285" t="str">
        <f>UPPER(IF($D$15="","",VLOOKUP($D$15,'[2]m glavni turnir žrebna lista'!$A$7:$R$38,3)))</f>
        <v>HRIBERSKI GAŠPER</v>
      </c>
      <c r="X49" s="285" t="str">
        <f>PROPER(IF($D$15="","",VLOOKUP($D$15,'[2]m glavni turnir žrebna lista'!$A$7:$R$38,4)))</f>
        <v/>
      </c>
      <c r="Y49" s="281" t="str">
        <f>IF(W49="","",IF($U$16&lt;&gt;$U$15,"",IF($J$17="bb",1,IF($J$17="","0",$I$17))))</f>
        <v/>
      </c>
      <c r="Z49" s="281" t="str">
        <f>IF($W$45="","",IF($U$18&lt;&gt;$U$15,"",IF($L$19="bb",1,IF($L$19="","0",$K$20))))</f>
        <v/>
      </c>
      <c r="AA49" s="281" t="str">
        <f>IF($W$45="","",IF($U$14&lt;&gt;$U$15,"",IF($N$15="bb",1,IF($N$15="","0",$M$10))))</f>
        <v/>
      </c>
      <c r="AB49" s="281" t="str">
        <f>IF($W$45="","",IF($U$22&lt;&gt;$U$15,"",IF($P$23="bb",1,IF($P$23="","0",$O$30))))</f>
        <v/>
      </c>
      <c r="AC49" s="281" t="str">
        <f>IF($W$45="","",IF($U$38&lt;&gt;$U$15,"",IF($P$39="bb",1,IF($P$39="","0",$Q$54))))</f>
        <v/>
      </c>
      <c r="AD49" s="281"/>
      <c r="AE49" s="292">
        <f t="shared" si="3"/>
        <v>0</v>
      </c>
      <c r="AF49" s="283">
        <f>IF($C15="","",'m glavni 35+'!$C$15)</f>
        <v>0</v>
      </c>
      <c r="AG49" s="285" t="str">
        <f>UPPER(IF($D$15="","",VLOOKUP($D$15,'[2]m glavni turnir žrebna lista'!$A$7:$R$38,3)))</f>
        <v>HRIBERSKI GAŠPER</v>
      </c>
      <c r="AH49" s="285" t="str">
        <f>PROPER(IF($D$15="","",VLOOKUP($D$15,'[2]m glavni turnir žrebna lista'!$A$7:$R$38,4)))</f>
        <v/>
      </c>
      <c r="AI49" s="285" t="str">
        <f>UPPER(IF($D$15="","",VLOOKUP($D$15,'[2]m glavni turnir žrebna lista'!$A$7:$R$38,5)))</f>
        <v/>
      </c>
      <c r="AJ49" s="292">
        <f t="shared" si="4"/>
        <v>0</v>
      </c>
    </row>
    <row r="50" spans="1:36" s="234" customFormat="1" ht="9.6" customHeight="1">
      <c r="A50" s="239"/>
      <c r="B50" s="240"/>
      <c r="C50" s="240"/>
      <c r="D50" s="256"/>
      <c r="E50" s="241"/>
      <c r="F50" s="241"/>
      <c r="G50" s="242"/>
      <c r="H50" s="227"/>
      <c r="I50" s="257"/>
      <c r="J50" s="243" t="s">
        <v>87</v>
      </c>
      <c r="K50" s="258"/>
      <c r="L50" s="259" t="str">
        <f>UPPER(IF(OR(K50="a",K50="as"),J48,IF(OR(K50="b",K50="bs"),J52,)))</f>
        <v/>
      </c>
      <c r="M50" s="271">
        <f>IF(OR(K50="a",K50="as"),K48,IF(OR(K50="b",K50="bs"),K52,))</f>
        <v>0</v>
      </c>
      <c r="N50" s="229"/>
      <c r="O50" s="269"/>
      <c r="P50" s="229"/>
      <c r="Q50" s="269"/>
      <c r="R50" s="233"/>
      <c r="S50" s="299"/>
      <c r="T50" s="290"/>
      <c r="U50" s="291" t="str">
        <f>IF(OR(K50="a",K50="as"),U48,IF(OR(K50="b",K50="bs"),U52,""))</f>
        <v/>
      </c>
      <c r="V50" s="285">
        <v>6</v>
      </c>
      <c r="W50" s="285" t="str">
        <f>UPPER(IF($D$17="","",VLOOKUP($D$17,'[2]m glavni turnir žrebna lista'!$A$7:$R$38,3)))</f>
        <v>AMON SAMO</v>
      </c>
      <c r="X50" s="285" t="str">
        <f>PROPER(IF($D$17="","",VLOOKUP($D$17,'[2]m glavni turnir žrebna lista'!$A$7:$R$38,4)))</f>
        <v/>
      </c>
      <c r="Y50" s="281" t="str">
        <f>IF(W50="","",IF($U$16&lt;&gt;$U$17,"",IF($J$17="bb",1,IF($J$17="","0",$I$15))))</f>
        <v/>
      </c>
      <c r="Z50" s="281" t="str">
        <f>IF($W$45="","",IF($U$18&lt;&gt;$U$17,"",IF($L$19="bb",1,IF($L$19="","0",$K$20))))</f>
        <v/>
      </c>
      <c r="AA50" s="281" t="str">
        <f>IF($W$45="","",IF($U$14&lt;&gt;$U$17,"",IF($N$15="bb",1,IF($N$15="","0",$M$10))))</f>
        <v/>
      </c>
      <c r="AB50" s="281" t="str">
        <f>IF($W$45="","",IF($U$22&lt;&gt;$U$17,"",IF($P$23="bb",1,IF($P$23="","0",$O$30))))</f>
        <v/>
      </c>
      <c r="AC50" s="281" t="str">
        <f>IF($W$45="","",IF($U$38&lt;&gt;$U$17,"",IF($P$39="bb",1,IF($P$39="","0",$Q$54))))</f>
        <v/>
      </c>
      <c r="AD50" s="281"/>
      <c r="AE50" s="292">
        <f t="shared" si="3"/>
        <v>0</v>
      </c>
      <c r="AF50" s="283">
        <f>IF($C17="","",'m glavni 35+'!$C$17)</f>
        <v>0</v>
      </c>
      <c r="AG50" s="285" t="str">
        <f>UPPER(IF($D$17="","",VLOOKUP($D$17,'[2]m glavni turnir žrebna lista'!$A$7:$R$38,3)))</f>
        <v>AMON SAMO</v>
      </c>
      <c r="AH50" s="285" t="str">
        <f>PROPER(IF($D$17="","",VLOOKUP($D$17,'[2]m glavni turnir žrebna lista'!$A$7:$R$38,4)))</f>
        <v/>
      </c>
      <c r="AI50" s="285" t="str">
        <f>UPPER(IF($D$17="","",VLOOKUP($D$17,'[2]m glavni turnir žrebna lista'!$A$7:$R$38,5)))</f>
        <v/>
      </c>
      <c r="AJ50" s="292">
        <f t="shared" si="4"/>
        <v>0</v>
      </c>
    </row>
    <row r="51" spans="1:36" s="234" customFormat="1" ht="9.6" customHeight="1">
      <c r="A51" s="239">
        <v>23</v>
      </c>
      <c r="B51" s="251" t="str">
        <f>IF($D51="","",VLOOKUP($D51,'[2]m glavni turnir žrebna lista'!$A$7:$R$38,17))</f>
        <v/>
      </c>
      <c r="C51" s="251" t="str">
        <f>IF($D51="","",VLOOKUP($D51,'[2]m glavni turnir žrebna lista'!$A$7:$R$38,2))</f>
        <v/>
      </c>
      <c r="D51" s="225"/>
      <c r="E51" s="252" t="s">
        <v>3</v>
      </c>
      <c r="F51" s="252" t="str">
        <f>PROPER(IF($D51="","",VLOOKUP($D51,'[2]m glavni turnir žrebna lista'!$A$7:$R$38,4)))</f>
        <v/>
      </c>
      <c r="G51" s="252"/>
      <c r="H51" s="252" t="str">
        <f>IF($D51="","",VLOOKUP($D51,'[2]m glavni turnir žrebna lista'!$A$7:$R$38,5))</f>
        <v/>
      </c>
      <c r="I51" s="226" t="str">
        <f>IF($D51="","",VLOOKUP($D51,'[2]m glavni turnir žrebna lista'!$A$7:$R$38,14))</f>
        <v/>
      </c>
      <c r="J51" s="227"/>
      <c r="K51" s="264"/>
      <c r="L51" s="254"/>
      <c r="M51" s="262"/>
      <c r="N51" s="229"/>
      <c r="O51" s="269"/>
      <c r="P51" s="229"/>
      <c r="Q51" s="269"/>
      <c r="R51" s="233"/>
      <c r="S51" s="299"/>
      <c r="T51" s="290"/>
      <c r="U51" s="291" t="str">
        <f>IF($D51="","",VLOOKUP($D51,'[2]m glavni turnir žrebna lista'!$A$7:$R$38,2))</f>
        <v/>
      </c>
      <c r="V51" s="285">
        <v>7</v>
      </c>
      <c r="W51" s="285" t="str">
        <f>UPPER(IF($D$19="","",VLOOKUP($D$19,'[2]m glavni turnir žrebna lista'!$A$7:$R$38,3)))</f>
        <v/>
      </c>
      <c r="X51" s="285" t="str">
        <f>PROPER(IF($D$19="","",VLOOKUP($D$19,'[2]m glavni turnir žrebna lista'!$A$7:$R$38,4)))</f>
        <v/>
      </c>
      <c r="Y51" s="281" t="str">
        <f>IF(W51="","",IF($U$20&lt;&gt;$U$19,"",IF($J$21="bb",1,IF($J$21="","0",$I$21))))</f>
        <v/>
      </c>
      <c r="Z51" s="281" t="str">
        <f>IF($W$45="","",IF($U$18&lt;&gt;$U$19,"",IF($L$19="bb",1,IF($L$19="","0",$K$16))))</f>
        <v>0</v>
      </c>
      <c r="AA51" s="281" t="str">
        <f>IF($W$45="","",IF($U$14&lt;&gt;$U$19,"",IF($N$15="bb",1,IF($N$15="","0",$M$10))))</f>
        <v>0</v>
      </c>
      <c r="AB51" s="281" t="str">
        <f>IF($W$45="","",IF($U$22&lt;&gt;$U$19,"",IF($P$23="bb",1,IF($P$23="","0",$O$30))))</f>
        <v>0</v>
      </c>
      <c r="AC51" s="281" t="str">
        <f>IF($W$45="","",IF($U$38&lt;&gt;$U$19,"",IF($P$39="bb",1,IF($P$39="","0",$Q$54))))</f>
        <v>0</v>
      </c>
      <c r="AD51" s="281"/>
      <c r="AE51" s="292">
        <f t="shared" si="3"/>
        <v>0</v>
      </c>
      <c r="AF51" s="283" t="str">
        <f>IF($C19="","",'m glavni 35+'!$C$19)</f>
        <v/>
      </c>
      <c r="AG51" s="285" t="str">
        <f>UPPER(IF($D$19="","",VLOOKUP($D$19,'[2]m glavni turnir žrebna lista'!$A$7:$R$38,3)))</f>
        <v/>
      </c>
      <c r="AH51" s="285" t="str">
        <f>PROPER(IF($D$19="","",VLOOKUP($D$19,'[2]m glavni turnir žrebna lista'!$A$7:$R$38,4)))</f>
        <v/>
      </c>
      <c r="AI51" s="285" t="str">
        <f>UPPER(IF($D$19="","",VLOOKUP($D$19,'[2]m glavni turnir žrebna lista'!$A$7:$R$38,5)))</f>
        <v/>
      </c>
      <c r="AJ51" s="292">
        <f t="shared" si="4"/>
        <v>0</v>
      </c>
    </row>
    <row r="52" spans="1:36" s="234" customFormat="1" ht="9.6" customHeight="1">
      <c r="A52" s="239"/>
      <c r="B52" s="240"/>
      <c r="C52" s="240"/>
      <c r="D52" s="240"/>
      <c r="E52" s="241"/>
      <c r="F52" s="241"/>
      <c r="G52" s="242"/>
      <c r="H52" s="243" t="s">
        <v>87</v>
      </c>
      <c r="I52" s="244"/>
      <c r="J52" s="245" t="s">
        <v>124</v>
      </c>
      <c r="K52" s="266">
        <f>IF(OR(I52="a",I52="as"),I51,IF(OR(I52="b",I52="bs"),I53,))</f>
        <v>0</v>
      </c>
      <c r="L52" s="227"/>
      <c r="M52" s="262"/>
      <c r="N52" s="229"/>
      <c r="O52" s="269"/>
      <c r="P52" s="229"/>
      <c r="Q52" s="269"/>
      <c r="R52" s="233"/>
      <c r="S52" s="300"/>
      <c r="U52" s="301" t="str">
        <f>IF(OR(I52="a",I52="as"),C51,IF(OR(I52="b",I52="bs"),C53,""))</f>
        <v/>
      </c>
      <c r="V52" s="285">
        <v>8</v>
      </c>
      <c r="W52" s="285" t="str">
        <f>UPPER(IF($D$21="","",VLOOKUP($D$21,'[2]m glavni turnir žrebna lista'!$A$7:$R$38,3)))</f>
        <v>SKVARČA SAMO</v>
      </c>
      <c r="X52" s="285" t="str">
        <f>PROPER(IF($D$21="","",VLOOKUP($D$21,'[2]m glavni turnir žrebna lista'!$A$7:$R$38,4)))</f>
        <v>7</v>
      </c>
      <c r="Y52" s="281" t="str">
        <f>IF(W52="","",IF($U$20&lt;&gt;$U$21,"",IF($J$21="bb",1,IF($J$21="","0",$I$19))))</f>
        <v/>
      </c>
      <c r="Z52" s="281" t="str">
        <f>IF($W$45="","",IF($U$18&lt;&gt;$U$21,"",IF($L$19="bb",1,IF($L$19="","0",$K$16))))</f>
        <v/>
      </c>
      <c r="AA52" s="281" t="str">
        <f>IF($W$45="","",IF($U$14&lt;&gt;$U$21,"",IF($N$15="bb",1,IF($N$15="","0",$M$10))))</f>
        <v/>
      </c>
      <c r="AB52" s="281" t="str">
        <f>IF($W$45="","",IF($U$22&lt;&gt;$U$21,"",IF($P$23="bb",1,IF($P$23="","0",$O$30))))</f>
        <v/>
      </c>
      <c r="AC52" s="281" t="str">
        <f>IF($W$45="","",IF($U$38&lt;&gt;$U$21,"",IF($P$39="bb",1,IF($P$39="","0",$Q$54))))</f>
        <v/>
      </c>
      <c r="AD52" s="281"/>
      <c r="AE52" s="292">
        <f t="shared" si="3"/>
        <v>0</v>
      </c>
      <c r="AF52" s="283">
        <f>IF($C21="","",'m glavni 35+'!$C$21)</f>
        <v>0</v>
      </c>
      <c r="AG52" s="285" t="str">
        <f>UPPER(IF($D$21="","",VLOOKUP($D$21,'[2]m glavni turnir žrebna lista'!$A$7:$R$38,3)))</f>
        <v>SKVARČA SAMO</v>
      </c>
      <c r="AH52" s="285" t="str">
        <f>PROPER(IF($D$21="","",VLOOKUP($D$21,'[2]m glavni turnir žrebna lista'!$A$7:$R$38,4)))</f>
        <v>7</v>
      </c>
      <c r="AI52" s="285" t="str">
        <f>UPPER(IF($D$21="","",VLOOKUP($D$21,'[2]m glavni turnir žrebna lista'!$A$7:$R$38,5)))</f>
        <v/>
      </c>
      <c r="AJ52" s="292">
        <f t="shared" si="4"/>
        <v>0</v>
      </c>
    </row>
    <row r="53" spans="1:36" s="234" customFormat="1" ht="9.6" customHeight="1">
      <c r="A53" s="223">
        <v>24</v>
      </c>
      <c r="B53" s="224">
        <f>IF($D53="","",VLOOKUP($D53,'[2]m glavni turnir žrebna lista'!$A$7:$R$38,17))</f>
        <v>0</v>
      </c>
      <c r="C53" s="224">
        <f>IF($D53="","",VLOOKUP($D53,'[2]m glavni turnir žrebna lista'!$A$7:$R$38,2))</f>
        <v>0</v>
      </c>
      <c r="D53" s="225">
        <v>4</v>
      </c>
      <c r="E53" s="224" t="str">
        <f>UPPER(IF($D53="","",VLOOKUP($D53,'[2]m glavni turnir žrebna lista'!$A$7:$R$38,3)))</f>
        <v>JANHAR BLAŽ</v>
      </c>
      <c r="F53" s="224" t="str">
        <f>PROPER(IF($D53="","",VLOOKUP($D53,'[2]m glavni turnir žrebna lista'!$A$7:$R$38,4)))</f>
        <v>4</v>
      </c>
      <c r="G53" s="224"/>
      <c r="H53" s="224">
        <f>IF($D53="","",VLOOKUP($D53,'[2]m glavni turnir žrebna lista'!$A$7:$R$38,5))</f>
        <v>0</v>
      </c>
      <c r="I53" s="253">
        <f>IF($D53="","",VLOOKUP($D53,'[2]m glavni turnir žrebna lista'!$A$7:$R$38,14))</f>
        <v>0</v>
      </c>
      <c r="J53" s="254"/>
      <c r="K53" s="228"/>
      <c r="L53" s="227"/>
      <c r="M53" s="262"/>
      <c r="N53" s="229"/>
      <c r="O53" s="269"/>
      <c r="P53" s="229"/>
      <c r="Q53" s="269"/>
      <c r="R53" s="233"/>
      <c r="S53" s="300"/>
      <c r="U53" s="180">
        <f>IF($D53="","",VLOOKUP($D53,'[2]m glavni turnir žrebna lista'!$A$7:$R$38,2))</f>
        <v>0</v>
      </c>
      <c r="V53" s="285">
        <v>9</v>
      </c>
      <c r="W53" s="285" t="str">
        <f>UPPER(IF($D$23="","",VLOOKUP($D$23,'[2]m glavni turnir žrebna lista'!$A$7:$R$38,3)))</f>
        <v>KADIVNIK KLEMEN</v>
      </c>
      <c r="X53" s="285" t="str">
        <f>PROPER(IF($D$23="","",VLOOKUP($D$23,'[2]m glavni turnir žrebna lista'!$A$7:$R$38,4)))</f>
        <v>3</v>
      </c>
      <c r="Y53" s="281" t="str">
        <f>IF(W53="","",IF($U$24&lt;&gt;$U$23,"",IF($J$25="bb",1,IF($J$25="","0",$I$25))))</f>
        <v>0</v>
      </c>
      <c r="Z53" s="281" t="str">
        <f>IF($W$45="","",IF($U$26&lt;&gt;$U$23,"",IF($L$27="bb",1,IF($L$27="","0",$K$28))))</f>
        <v/>
      </c>
      <c r="AA53" s="281" t="str">
        <f>IF($W$45="","",IF($U$30&lt;&gt;$U$23,"",IF($N$31="bb",1,IF($N$31="","0",$M$34))))</f>
        <v/>
      </c>
      <c r="AB53" s="281" t="str">
        <f>IF($W$45="","",IF($U$22&lt;&gt;$U$23,"",IF($P$23="bb",1,IF($P$23="","0",$O$14))))</f>
        <v/>
      </c>
      <c r="AC53" s="281" t="str">
        <f>IF($W$45="","",IF($U$38&lt;&gt;$U$23,"",IF($P$39="bb",1,IF($P$39="","0",$Q$54))))</f>
        <v/>
      </c>
      <c r="AD53" s="281"/>
      <c r="AE53" s="292">
        <f t="shared" si="3"/>
        <v>0</v>
      </c>
      <c r="AF53" s="283">
        <f>IF($C23="","",'m glavni 35+'!$C$23)</f>
        <v>0</v>
      </c>
      <c r="AG53" s="285" t="str">
        <f>UPPER(IF($D$23="","",VLOOKUP($D$23,'[2]m glavni turnir žrebna lista'!$A$7:$R$38,3)))</f>
        <v>KADIVNIK KLEMEN</v>
      </c>
      <c r="AH53" s="285" t="str">
        <f>PROPER(IF($D$23="","",VLOOKUP($D$23,'[2]m glavni turnir žrebna lista'!$A$7:$R$38,4)))</f>
        <v>3</v>
      </c>
      <c r="AI53" s="285" t="str">
        <f>UPPER(IF($D$23="","",VLOOKUP($D$23,'[2]m glavni turnir žrebna lista'!$A$7:$R$38,5)))</f>
        <v/>
      </c>
      <c r="AJ53" s="292">
        <f t="shared" si="4"/>
        <v>0</v>
      </c>
    </row>
    <row r="54" spans="1:36" s="234" customFormat="1" ht="9.6" customHeight="1">
      <c r="A54" s="239"/>
      <c r="B54" s="240"/>
      <c r="C54" s="240"/>
      <c r="D54" s="240"/>
      <c r="E54" s="268"/>
      <c r="F54" s="268"/>
      <c r="G54" s="273"/>
      <c r="H54" s="268"/>
      <c r="I54" s="257"/>
      <c r="J54" s="227"/>
      <c r="K54" s="228"/>
      <c r="L54" s="227"/>
      <c r="M54" s="262"/>
      <c r="N54" s="243" t="s">
        <v>87</v>
      </c>
      <c r="O54" s="258"/>
      <c r="P54" s="259" t="str">
        <f>UPPER(IF(OR(O54="a",O54="as"),N46,IF(OR(O54="b",O54="bs"),N62,)))</f>
        <v/>
      </c>
      <c r="Q54" s="276">
        <f>IF(OR(O54="a",O54="as"),O46,IF(OR(O54="b",O54="bs"),O62,))</f>
        <v>0</v>
      </c>
      <c r="R54" s="233"/>
      <c r="S54" s="300"/>
      <c r="U54" s="180" t="str">
        <f>IF(OR(O54="a",O54="as"),U46,IF(OR(O54="b",O54="bs"),U62,""))</f>
        <v/>
      </c>
      <c r="V54" s="285">
        <v>10</v>
      </c>
      <c r="W54" s="285" t="str">
        <f>UPPER(IF($D$25="","",VLOOKUP($D$25,'[2]m glavni turnir žrebna lista'!$A$7:$R$38,3)))</f>
        <v/>
      </c>
      <c r="X54" s="285" t="str">
        <f>PROPER(IF($D$25="","",VLOOKUP($D$25,'[2]m glavni turnir žrebna lista'!$A$7:$R$38,4)))</f>
        <v/>
      </c>
      <c r="Y54" s="281" t="str">
        <f>IF(W54="","",IF($U$24&lt;&gt;$U$25,"",IF($J$25="bb",1,IF($J$25="","0",$I$23))))</f>
        <v/>
      </c>
      <c r="Z54" s="281" t="str">
        <f>IF($W$45="","",IF($U$26&lt;&gt;$U$25,"",IF($L$27="bb",1,IF($L$27="","0",$K$28))))</f>
        <v>0</v>
      </c>
      <c r="AA54" s="281" t="str">
        <f>IF($W$45="","",IF($U$30&lt;&gt;$U$25,"",IF($N$31="bb",1,IF($N$31="","0",$M$34))))</f>
        <v>0</v>
      </c>
      <c r="AB54" s="281" t="str">
        <f>IF($W$45="","",IF($U$22&lt;&gt;$U$25,"",IF($P$23="bb",1,IF($P$23="","0",$O$14))))</f>
        <v>0</v>
      </c>
      <c r="AC54" s="281" t="str">
        <f>IF($W$45="","",IF($U$38&lt;&gt;$U$25,"",IF($P$39="bb",1,IF($P$39="","0",$Q$54))))</f>
        <v>0</v>
      </c>
      <c r="AD54" s="281"/>
      <c r="AE54" s="292">
        <f t="shared" si="3"/>
        <v>0</v>
      </c>
      <c r="AF54" s="283" t="str">
        <f>IF($C25="","",'m glavni 35+'!$C$25)</f>
        <v/>
      </c>
      <c r="AG54" s="285" t="str">
        <f>UPPER(IF($D$25="","",VLOOKUP($D$25,'[2]m glavni turnir žrebna lista'!$A$7:$R$38,3)))</f>
        <v/>
      </c>
      <c r="AH54" s="285" t="str">
        <f>PROPER(IF($D$25="","",VLOOKUP($D$25,'[2]m glavni turnir žrebna lista'!$A$7:$R$38,4)))</f>
        <v/>
      </c>
      <c r="AI54" s="285" t="str">
        <f>UPPER(IF($D$25="","",VLOOKUP($D$25,'[2]m glavni turnir žrebna lista'!$A$7:$R$38,5)))</f>
        <v/>
      </c>
      <c r="AJ54" s="292">
        <f t="shared" si="4"/>
        <v>0</v>
      </c>
    </row>
    <row r="55" spans="1:36" s="234" customFormat="1" ht="9.6" customHeight="1">
      <c r="A55" s="223">
        <v>25</v>
      </c>
      <c r="B55" s="224">
        <f>IF($D55="","",VLOOKUP($D55,'[2]m glavni turnir žrebna lista'!$A$7:$R$38,17))</f>
        <v>0</v>
      </c>
      <c r="C55" s="224">
        <f>IF($D55="","",VLOOKUP($D55,'[2]m glavni turnir žrebna lista'!$A$7:$R$38,2))</f>
        <v>0</v>
      </c>
      <c r="D55" s="225">
        <v>8</v>
      </c>
      <c r="E55" s="224" t="str">
        <f>UPPER(IF($D55="","",VLOOKUP($D55,'[2]m glavni turnir žrebna lista'!$A$7:$R$38,3)))</f>
        <v>URANIČ DENIS</v>
      </c>
      <c r="F55" s="224" t="str">
        <f>PROPER(IF($D55="","",VLOOKUP($D55,'[2]m glavni turnir žrebna lista'!$A$7:$R$38,4)))</f>
        <v>8</v>
      </c>
      <c r="G55" s="224"/>
      <c r="H55" s="224">
        <f>IF($D55="","",VLOOKUP($D55,'[2]m glavni turnir žrebna lista'!$A$7:$R$38,5))</f>
        <v>0</v>
      </c>
      <c r="I55" s="226">
        <f>IF($D55="","",VLOOKUP($D55,'[2]m glavni turnir žrebna lista'!$A$7:$R$38,14))</f>
        <v>0</v>
      </c>
      <c r="J55" s="227"/>
      <c r="K55" s="228"/>
      <c r="L55" s="227"/>
      <c r="M55" s="262"/>
      <c r="N55" s="229"/>
      <c r="O55" s="269"/>
      <c r="P55" s="254"/>
      <c r="Q55" s="230"/>
      <c r="R55" s="233"/>
      <c r="S55" s="300"/>
      <c r="U55" s="180">
        <f>IF($D55="","",VLOOKUP($D55,'[2]m glavni turnir žrebna lista'!$A$7:$R$38,2))</f>
        <v>0</v>
      </c>
      <c r="V55" s="285">
        <v>11</v>
      </c>
      <c r="W55" s="285" t="str">
        <f>UPPER(IF($D$27="","",VLOOKUP($D$27,'[2]m glavni turnir žrebna lista'!$A$7:$R$38,3)))</f>
        <v>TURUK MARKO</v>
      </c>
      <c r="X55" s="285" t="str">
        <f>PROPER(IF($D$27="","",VLOOKUP($D$27,'[2]m glavni turnir žrebna lista'!$A$7:$R$38,4)))</f>
        <v/>
      </c>
      <c r="Y55" s="281" t="str">
        <f>IF(W55="","",IF($U$28&lt;&gt;$U$27,"",IF($J$29="bb",1,IF($J$29="","0",$I$29))))</f>
        <v/>
      </c>
      <c r="Z55" s="281" t="str">
        <f>IF($W$45="","",IF($U$26&lt;&gt;$U$27,"",IF($L$27="bb",1,IF($L$27="","0",$K$24))))</f>
        <v/>
      </c>
      <c r="AA55" s="281" t="str">
        <f>IF($W$45="","",IF($U$30&lt;&gt;$U$27,"",IF($N$31="bb",1,IF($N$31="","0",$M$34))))</f>
        <v/>
      </c>
      <c r="AB55" s="281" t="str">
        <f>IF($W$45="","",IF($U$22&lt;&gt;$U$27,"",IF($P$23="bb",1,IF($P$23="","0",$O$14))))</f>
        <v/>
      </c>
      <c r="AC55" s="281" t="str">
        <f>IF($W$45="","",IF($U$38&lt;&gt;$U$27,"",IF($P$39="bb",1,IF($P$39="","0",$Q$54))))</f>
        <v/>
      </c>
      <c r="AD55" s="281"/>
      <c r="AE55" s="292">
        <f t="shared" si="3"/>
        <v>0</v>
      </c>
      <c r="AF55" s="283">
        <f>IF($C27="","",'m glavni 35+'!$C$27)</f>
        <v>0</v>
      </c>
      <c r="AG55" s="285" t="str">
        <f>UPPER(IF($D$27="","",VLOOKUP($D$27,'[2]m glavni turnir žrebna lista'!$A$7:$R$38,3)))</f>
        <v>TURUK MARKO</v>
      </c>
      <c r="AH55" s="285" t="str">
        <f>PROPER(IF($D$27="","",VLOOKUP($D$27,'[2]m glavni turnir žrebna lista'!$A$7:$R$38,4)))</f>
        <v/>
      </c>
      <c r="AI55" s="285" t="str">
        <f>UPPER(IF($D$27="","",VLOOKUP($D$27,'[2]m glavni turnir žrebna lista'!$A$7:$R$38,5)))</f>
        <v/>
      </c>
      <c r="AJ55" s="292">
        <f t="shared" si="4"/>
        <v>0</v>
      </c>
    </row>
    <row r="56" spans="1:36" s="234" customFormat="1" ht="9.6" customHeight="1">
      <c r="A56" s="239"/>
      <c r="B56" s="240"/>
      <c r="C56" s="240"/>
      <c r="D56" s="240"/>
      <c r="E56" s="241"/>
      <c r="F56" s="241"/>
      <c r="G56" s="242"/>
      <c r="H56" s="243" t="s">
        <v>87</v>
      </c>
      <c r="I56" s="244" t="s">
        <v>121</v>
      </c>
      <c r="J56" s="245" t="str">
        <f>UPPER(IF(OR(I56="a",I56="as"),E55,IF(OR(I56="b",I56="bs"),E57,)))</f>
        <v>URANIČ DENIS</v>
      </c>
      <c r="K56" s="246">
        <f>IF(OR(I56="a",I56="as"),I55,IF(OR(I56="b",I56="bs"),I57,))</f>
        <v>0</v>
      </c>
      <c r="L56" s="227"/>
      <c r="M56" s="262"/>
      <c r="N56" s="229"/>
      <c r="O56" s="269"/>
      <c r="P56" s="229"/>
      <c r="Q56" s="230"/>
      <c r="R56" s="233"/>
      <c r="S56" s="300"/>
      <c r="U56" s="180">
        <f>IF(OR(I56="a",I56="as"),C55,IF(OR(I56="b",I56="bs"),C57,""))</f>
        <v>0</v>
      </c>
      <c r="V56" s="285">
        <v>12</v>
      </c>
      <c r="W56" s="285" t="str">
        <f>UPPER(IF($D$29="","",VLOOKUP($D$29,'[2]m glavni turnir žrebna lista'!$A$7:$R$38,3)))</f>
        <v>MAGAJNE TONI</v>
      </c>
      <c r="X56" s="285" t="str">
        <f>PROPER(IF($D$29="","",VLOOKUP($D$29,'[2]m glavni turnir žrebna lista'!$A$7:$R$38,4)))</f>
        <v/>
      </c>
      <c r="Y56" s="281" t="str">
        <f>IF(W56="","",IF($U$28&lt;&gt;$U$29,"",IF($J$29="bb",1,IF($J$29="","0",$I$27))))</f>
        <v/>
      </c>
      <c r="Z56" s="281" t="str">
        <f>IF($W$45="","",IF($U$26&lt;&gt;$U$29,"",IF($L$27="bb",1,IF($L$27="","0",$K$24))))</f>
        <v/>
      </c>
      <c r="AA56" s="281" t="str">
        <f>IF($W$45="","",IF($U$30&lt;&gt;$U$29,"",IF($N$31="bb",1,IF($N$31="","0",$M$34))))</f>
        <v/>
      </c>
      <c r="AB56" s="281" t="str">
        <f>IF($W$45="","",IF($U$22&lt;&gt;$U$29,"",IF($P$23="bb",1,IF($P$23="","0",$O$14))))</f>
        <v/>
      </c>
      <c r="AC56" s="281" t="str">
        <f>IF($W$45="","",IF($U$38&lt;&gt;$U$29,"",IF($P$39="bb",1,IF($P$39="","0",$Q$54))))</f>
        <v/>
      </c>
      <c r="AD56" s="281"/>
      <c r="AE56" s="292">
        <f t="shared" si="3"/>
        <v>0</v>
      </c>
      <c r="AF56" s="283">
        <f>IF($C29="","",'m glavni 35+'!$C$29)</f>
        <v>0</v>
      </c>
      <c r="AG56" s="285" t="str">
        <f>UPPER(IF($D$29="","",VLOOKUP($D$29,'[2]m glavni turnir žrebna lista'!$A$7:$R$38,3)))</f>
        <v>MAGAJNE TONI</v>
      </c>
      <c r="AH56" s="285" t="str">
        <f>PROPER(IF($D$29="","",VLOOKUP($D$29,'[2]m glavni turnir žrebna lista'!$A$7:$R$38,4)))</f>
        <v/>
      </c>
      <c r="AI56" s="285" t="str">
        <f>UPPER(IF($D$29="","",VLOOKUP($D$29,'[2]m glavni turnir žrebna lista'!$A$7:$R$38,5)))</f>
        <v/>
      </c>
      <c r="AJ56" s="292">
        <f t="shared" si="4"/>
        <v>0</v>
      </c>
    </row>
    <row r="57" spans="1:36" s="234" customFormat="1" ht="9.6" customHeight="1">
      <c r="A57" s="239">
        <v>26</v>
      </c>
      <c r="B57" s="251" t="str">
        <f>IF($D57="","",VLOOKUP($D57,'[2]m glavni turnir žrebna lista'!$A$7:$R$38,17))</f>
        <v/>
      </c>
      <c r="C57" s="251" t="str">
        <f>IF($D57="","",VLOOKUP($D57,'[2]m glavni turnir žrebna lista'!$A$7:$R$38,2))</f>
        <v/>
      </c>
      <c r="D57" s="225"/>
      <c r="E57" s="252" t="s">
        <v>3</v>
      </c>
      <c r="F57" s="252" t="str">
        <f>PROPER(IF($D57="","",VLOOKUP($D57,'[2]m glavni turnir žrebna lista'!$A$7:$R$38,4)))</f>
        <v/>
      </c>
      <c r="G57" s="252"/>
      <c r="H57" s="252" t="str">
        <f>IF($D57="","",VLOOKUP($D57,'[2]m glavni turnir žrebna lista'!$A$7:$R$38,5))</f>
        <v/>
      </c>
      <c r="I57" s="253" t="str">
        <f>IF($D57="","",VLOOKUP($D57,'[2]m glavni turnir žrebna lista'!$A$7:$R$38,14))</f>
        <v/>
      </c>
      <c r="J57" s="254"/>
      <c r="K57" s="369"/>
      <c r="L57" s="227"/>
      <c r="M57" s="229"/>
      <c r="O57" s="269"/>
      <c r="P57" s="229"/>
      <c r="Q57" s="230"/>
      <c r="R57" s="233"/>
      <c r="S57" s="300"/>
      <c r="U57" s="180" t="str">
        <f>IF($D57="","",VLOOKUP($D57,'[2]m glavni turnir žrebna lista'!$A$7:$R$38,2))</f>
        <v/>
      </c>
      <c r="V57" s="285">
        <v>13</v>
      </c>
      <c r="W57" s="285" t="str">
        <f>UPPER(IF($D$31="","",VLOOKUP($D$31,'[2]m glavni turnir žrebna lista'!$A$7:$R$38,3)))</f>
        <v>AGREŽ TADEJ</v>
      </c>
      <c r="X57" s="285" t="str">
        <f>PROPER(IF($D$31="","",VLOOKUP($D$31,'[2]m glavni turnir žrebna lista'!$A$7:$R$38,4)))</f>
        <v/>
      </c>
      <c r="Y57" s="281" t="str">
        <f>IF(W57="","",IF($U$32&lt;&gt;$U$31,"",IF($J$33="bb",1,IF($J$33="","0",$I$33))))</f>
        <v/>
      </c>
      <c r="Z57" s="281" t="str">
        <f>IF($W$45="","",IF($U$34&lt;&gt;$U$31,"",IF($L$35="bb",1,IF($L$35="","0",$K$36))))</f>
        <v/>
      </c>
      <c r="AA57" s="281" t="str">
        <f>IF($W$45="","",IF($U$30&lt;&gt;$U$31,"",IF($N$31="bb",1,IF($N$31="","0",$M$26))))</f>
        <v/>
      </c>
      <c r="AB57" s="281" t="str">
        <f>IF($W$45="","",IF($U$22&lt;&gt;$U$31,"",IF($P$23="bb",1,IF($P$23="","0",$O$14))))</f>
        <v/>
      </c>
      <c r="AC57" s="281" t="str">
        <f>IF($W$45="","",IF($U$38&lt;&gt;$U$31,"",IF($P$39="bb",1,IF($P$39="","0",$Q$54))))</f>
        <v/>
      </c>
      <c r="AD57" s="281"/>
      <c r="AE57" s="292">
        <f t="shared" si="3"/>
        <v>0</v>
      </c>
      <c r="AF57" s="283">
        <f>IF($C31="","",'m glavni 35+'!$C$31)</f>
        <v>0</v>
      </c>
      <c r="AG57" s="285" t="str">
        <f>UPPER(IF($D$31="","",VLOOKUP($D$31,'[2]m glavni turnir žrebna lista'!$A$7:$R$38,3)))</f>
        <v>AGREŽ TADEJ</v>
      </c>
      <c r="AH57" s="285" t="str">
        <f>PROPER(IF($D$31="","",VLOOKUP($D$31,'[2]m glavni turnir žrebna lista'!$A$7:$R$38,4)))</f>
        <v/>
      </c>
      <c r="AI57" s="285" t="str">
        <f>UPPER(IF($D$31="","",VLOOKUP($D$31,'[2]m glavni turnir žrebna lista'!$A$7:$R$38,5)))</f>
        <v/>
      </c>
      <c r="AJ57" s="292">
        <f t="shared" si="4"/>
        <v>0</v>
      </c>
    </row>
    <row r="58" spans="1:36" s="234" customFormat="1" ht="9.6" customHeight="1">
      <c r="A58" s="239"/>
      <c r="B58" s="240"/>
      <c r="C58" s="240"/>
      <c r="D58" s="256"/>
      <c r="E58" s="241"/>
      <c r="F58" s="241"/>
      <c r="G58" s="242"/>
      <c r="H58" s="241"/>
      <c r="I58" s="257"/>
      <c r="J58" s="243" t="s">
        <v>87</v>
      </c>
      <c r="K58" s="258"/>
      <c r="L58" s="259" t="str">
        <f>UPPER(IF(OR(K58="a",K58="as"),J56,IF(OR(K58="b",K58="bs"),J60,)))</f>
        <v/>
      </c>
      <c r="M58" s="260">
        <f>IF(OR(K58="a",K58="as"),K56,IF(OR(K58="b",K58="bs"),K60,))</f>
        <v>0</v>
      </c>
      <c r="N58" s="229"/>
      <c r="O58" s="269"/>
      <c r="P58" s="229"/>
      <c r="Q58" s="230"/>
      <c r="R58" s="233"/>
      <c r="S58" s="300"/>
      <c r="U58" s="180" t="str">
        <f>IF(OR(K58="a",K58="as"),U56,IF(OR(K58="b",K58="bs"),U60,""))</f>
        <v/>
      </c>
      <c r="V58" s="285">
        <v>14</v>
      </c>
      <c r="W58" s="285" t="str">
        <f>UPPER(IF($D$33="","",VLOOKUP($D$33,'[2]m glavni turnir žrebna lista'!$A$7:$R$38,3)))</f>
        <v>BIZJAK TOMAŽ</v>
      </c>
      <c r="X58" s="285" t="str">
        <f>PROPER(IF($D$33="","",VLOOKUP($D$33,'[2]m glavni turnir žrebna lista'!$A$7:$R$38,4)))</f>
        <v/>
      </c>
      <c r="Y58" s="281" t="str">
        <f>IF(W58="","",IF($U$32&lt;&gt;$U$33,"",IF($J$33="bb",1,IF($J$33="","0",$I$31))))</f>
        <v/>
      </c>
      <c r="Z58" s="281" t="str">
        <f>IF($W$45="","",IF($U$34&lt;&gt;$U$33,"",IF($L$35="bb",1,IF($L$35="","0",$K$36))))</f>
        <v/>
      </c>
      <c r="AA58" s="281" t="str">
        <f>IF($W$45="","",IF($U$30&lt;&gt;$U$33,"",IF($N$31="bb",1,IF($N$31="","0",$M$26))))</f>
        <v/>
      </c>
      <c r="AB58" s="281" t="str">
        <f>IF($W$45="","",IF($U$22&lt;&gt;$U$33,"",IF($P$23="bb",1,IF($P$23="","0",$O$14))))</f>
        <v/>
      </c>
      <c r="AC58" s="281" t="str">
        <f>IF($W$45="","",IF($U$38&lt;&gt;$U$33,"",IF($P$39="bb",1,IF($P$39="","0",$Q$54))))</f>
        <v/>
      </c>
      <c r="AD58" s="281"/>
      <c r="AE58" s="292">
        <f t="shared" si="3"/>
        <v>0</v>
      </c>
      <c r="AF58" s="283">
        <f>IF($C33="","",'m glavni 35+'!$C$33)</f>
        <v>0</v>
      </c>
      <c r="AG58" s="285" t="str">
        <f>UPPER(IF($D$33="","",VLOOKUP($D$33,'[2]m glavni turnir žrebna lista'!$A$7:$R$38,3)))</f>
        <v>BIZJAK TOMAŽ</v>
      </c>
      <c r="AH58" s="285" t="str">
        <f>PROPER(IF($D$33="","",VLOOKUP($D$33,'[2]m glavni turnir žrebna lista'!$A$7:$R$38,4)))</f>
        <v/>
      </c>
      <c r="AI58" s="285" t="str">
        <f>UPPER(IF($D$33="","",VLOOKUP($D$33,'[2]m glavni turnir žrebna lista'!$A$7:$R$38,5)))</f>
        <v/>
      </c>
      <c r="AJ58" s="292">
        <f t="shared" si="4"/>
        <v>0</v>
      </c>
    </row>
    <row r="59" spans="1:36" s="234" customFormat="1" ht="9.6" customHeight="1">
      <c r="A59" s="239">
        <v>27</v>
      </c>
      <c r="B59" s="251">
        <f>IF($D59="","",VLOOKUP($D59,'[2]m glavni turnir žrebna lista'!$A$7:$R$38,17))</f>
        <v>0</v>
      </c>
      <c r="C59" s="251">
        <f>IF($D59="","",VLOOKUP($D59,'[2]m glavni turnir žrebna lista'!$A$7:$R$38,2))</f>
        <v>0</v>
      </c>
      <c r="D59" s="225">
        <v>16</v>
      </c>
      <c r="E59" s="252" t="str">
        <f>UPPER(IF($D59="","",VLOOKUP($D59,'[2]m glavni turnir žrebna lista'!$A$7:$R$38,3)))</f>
        <v>KRŽIČ ANDRAŽ</v>
      </c>
      <c r="F59" s="252" t="str">
        <f>PROPER(IF($D59="","",VLOOKUP($D59,'[2]m glavni turnir žrebna lista'!$A$7:$R$38,4)))</f>
        <v/>
      </c>
      <c r="G59" s="252"/>
      <c r="H59" s="252">
        <f>IF($D59="","",VLOOKUP($D59,'[2]m glavni turnir žrebna lista'!$A$7:$R$38,5))</f>
        <v>0</v>
      </c>
      <c r="I59" s="226">
        <f>IF($D59="","",VLOOKUP($D59,'[2]m glavni turnir žrebna lista'!$A$7:$R$38,14))</f>
        <v>0</v>
      </c>
      <c r="J59" s="227"/>
      <c r="K59" s="264"/>
      <c r="L59" s="254"/>
      <c r="M59" s="265"/>
      <c r="N59" s="229"/>
      <c r="O59" s="269"/>
      <c r="P59" s="229"/>
      <c r="Q59" s="230"/>
      <c r="R59" s="302"/>
      <c r="S59" s="300"/>
      <c r="U59" s="180">
        <f>IF($D59="","",VLOOKUP($D59,'[2]m glavni turnir žrebna lista'!$A$7:$R$38,2))</f>
        <v>0</v>
      </c>
      <c r="V59" s="285">
        <v>15</v>
      </c>
      <c r="W59" s="285" t="str">
        <f>UPPER(IF($D$35="","",VLOOKUP($D$35,'[2]m glavni turnir žrebna lista'!$A$7:$R$38,3)))</f>
        <v/>
      </c>
      <c r="X59" s="285" t="str">
        <f>PROPER(IF($D$35="","",VLOOKUP($D$35,'[2]m glavni turnir žrebna lista'!$A$7:$R$38,4)))</f>
        <v/>
      </c>
      <c r="Y59" s="281" t="str">
        <f>IF(W59="","",IF($U$36&lt;&gt;$U$35,"",IF($J$37="bb",1,IF($J$37="","0",$I$37))))</f>
        <v/>
      </c>
      <c r="Z59" s="281" t="str">
        <f>IF($W$45="","",IF($U$34&lt;&gt;$U$35,"",IF($L$35="bb",1,IF($L$35="","0",$K$32))))</f>
        <v>0</v>
      </c>
      <c r="AA59" s="281" t="str">
        <f>IF($W$45="","",IF($U$30&lt;&gt;$U$35,"",IF($N$31="bb",1,IF($N$31="","0",$M$26))))</f>
        <v>0</v>
      </c>
      <c r="AB59" s="281" t="str">
        <f>IF($W$45="","",IF($U$22&lt;&gt;$U$35,"",IF($P$23="bb",1,IF($P$23="","0",$O$14))))</f>
        <v>0</v>
      </c>
      <c r="AC59" s="281" t="str">
        <f>IF($W$45="","",IF($U$38&lt;&gt;$U$35,"",IF($P$39="bb",1,IF($P$39="","0",$Q$54))))</f>
        <v>0</v>
      </c>
      <c r="AD59" s="281"/>
      <c r="AE59" s="292">
        <f t="shared" si="3"/>
        <v>0</v>
      </c>
      <c r="AF59" s="283" t="str">
        <f>IF($C35="","",'m glavni 35+'!$C$35)</f>
        <v/>
      </c>
      <c r="AG59" s="285" t="str">
        <f>UPPER(IF($D$35="","",VLOOKUP($D$35,'[2]m glavni turnir žrebna lista'!$A$7:$R$38,3)))</f>
        <v/>
      </c>
      <c r="AH59" s="285" t="str">
        <f>PROPER(IF($D$35="","",VLOOKUP($D$35,'[2]m glavni turnir žrebna lista'!$A$7:$R$38,4)))</f>
        <v/>
      </c>
      <c r="AI59" s="285" t="str">
        <f>UPPER(IF($D$35="","",VLOOKUP($D$35,'[2]m glavni turnir žrebna lista'!$A$7:$R$38,5)))</f>
        <v/>
      </c>
      <c r="AJ59" s="292">
        <f t="shared" si="4"/>
        <v>0</v>
      </c>
    </row>
    <row r="60" spans="1:36" s="234" customFormat="1" ht="9.6" customHeight="1">
      <c r="A60" s="239"/>
      <c r="B60" s="240"/>
      <c r="C60" s="240"/>
      <c r="D60" s="256"/>
      <c r="E60" s="241"/>
      <c r="F60" s="241"/>
      <c r="G60" s="242"/>
      <c r="H60" s="243" t="s">
        <v>87</v>
      </c>
      <c r="I60" s="244" t="s">
        <v>121</v>
      </c>
      <c r="J60" s="259" t="str">
        <f>UPPER(IF(OR(I60="a",I60="as"),E59,IF(OR(I60="b",I60="bs"),E61,)))</f>
        <v>KRŽIČ ANDRAŽ</v>
      </c>
      <c r="K60" s="266">
        <f>IF(OR(I60="a",I60="as"),I59,IF(OR(I60="b",I60="bs"),I61,))</f>
        <v>0</v>
      </c>
      <c r="L60" s="227"/>
      <c r="M60" s="265"/>
      <c r="N60" s="229"/>
      <c r="O60" s="269"/>
      <c r="P60" s="526"/>
      <c r="Q60" s="527"/>
      <c r="R60" s="233"/>
      <c r="S60" s="300"/>
      <c r="U60" s="180">
        <f>IF(OR(I60="a",I60="as"),C59,IF(OR(I60="b",I60="bs"),C61,""))</f>
        <v>0</v>
      </c>
      <c r="V60" s="285">
        <v>16</v>
      </c>
      <c r="W60" s="285" t="str">
        <f>UPPER(IF($D$37="","",VLOOKUP($D$37,'[2]m glavni turnir žrebna lista'!$A$7:$R$38,3)))</f>
        <v>LOPATIČ MARKO</v>
      </c>
      <c r="X60" s="285" t="str">
        <f>PROPER(IF($D$37="","",VLOOKUP($D$37,'[2]m glavni turnir žrebna lista'!$A$7:$R$38,4)))</f>
        <v>5</v>
      </c>
      <c r="Y60" s="281" t="str">
        <f>IF(W60="","",IF($U$36&lt;&gt;$U$37,"",IF($J$37="bb",1,IF($J$37="","0",$I$35))))</f>
        <v/>
      </c>
      <c r="Z60" s="281" t="str">
        <f>IF($W$45="","",IF($U$34&lt;&gt;$U$37,"",IF($L$35="bb",1,IF($L$35="","0",$K$32))))</f>
        <v/>
      </c>
      <c r="AA60" s="281" t="str">
        <f>IF($W$45="","",IF($U$30&lt;&gt;$U$37,"",IF($N$31="bb",1,IF($N$31="","0",$M$26))))</f>
        <v/>
      </c>
      <c r="AB60" s="281" t="str">
        <f>IF($W$45="","",IF($U$22&lt;&gt;$U$37,"",IF($P$23="bb",1,IF($P$23="","0",$O$14))))</f>
        <v/>
      </c>
      <c r="AC60" s="281" t="str">
        <f>IF($W$45="","",IF($U$38&lt;&gt;$U$37,"",IF($P$39="bb",1,IF($P$39="","0",$Q$54))))</f>
        <v/>
      </c>
      <c r="AD60" s="281"/>
      <c r="AE60" s="292">
        <f t="shared" si="3"/>
        <v>0</v>
      </c>
      <c r="AF60" s="283">
        <f>IF($C37="","",'m glavni 35+'!$C$37)</f>
        <v>0</v>
      </c>
      <c r="AG60" s="285" t="str">
        <f>UPPER(IF($D$37="","",VLOOKUP($D$37,'[2]m glavni turnir žrebna lista'!$A$7:$R$38,3)))</f>
        <v>LOPATIČ MARKO</v>
      </c>
      <c r="AH60" s="285" t="str">
        <f>PROPER(IF($D$37="","",VLOOKUP($D$37,'[2]m glavni turnir žrebna lista'!$A$7:$R$38,4)))</f>
        <v>5</v>
      </c>
      <c r="AI60" s="285" t="str">
        <f>UPPER(IF($D$37="","",VLOOKUP($D$37,'[2]m glavni turnir žrebna lista'!$A$7:$R$38,5)))</f>
        <v/>
      </c>
      <c r="AJ60" s="292">
        <f t="shared" si="4"/>
        <v>0</v>
      </c>
    </row>
    <row r="61" spans="1:36" s="234" customFormat="1" ht="9.6" customHeight="1">
      <c r="A61" s="239">
        <v>28</v>
      </c>
      <c r="B61" s="251" t="str">
        <f>IF($D61="","",VLOOKUP($D61,'[2]m glavni turnir žrebna lista'!$A$7:$R$38,17))</f>
        <v/>
      </c>
      <c r="C61" s="251" t="str">
        <f>IF($D61="","",VLOOKUP($D61,'[2]m glavni turnir žrebna lista'!$A$7:$R$38,2))</f>
        <v/>
      </c>
      <c r="D61" s="225"/>
      <c r="E61" s="252" t="s">
        <v>3</v>
      </c>
      <c r="F61" s="252" t="str">
        <f>PROPER(IF($D61="","",VLOOKUP($D61,'[2]m glavni turnir žrebna lista'!$A$7:$R$38,4)))</f>
        <v/>
      </c>
      <c r="G61" s="252"/>
      <c r="H61" s="252" t="str">
        <f>IF($D61="","",VLOOKUP($D61,'[2]m glavni turnir žrebna lista'!$A$7:$R$38,5))</f>
        <v/>
      </c>
      <c r="I61" s="253" t="str">
        <f>IF($D61="","",VLOOKUP($D61,'[2]m glavni turnir žrebna lista'!$A$7:$R$38,14))</f>
        <v/>
      </c>
      <c r="J61" s="254"/>
      <c r="K61" s="228"/>
      <c r="L61" s="227"/>
      <c r="M61" s="265"/>
      <c r="N61" s="229"/>
      <c r="O61" s="303"/>
      <c r="P61" s="526" t="s">
        <v>97</v>
      </c>
      <c r="Q61" s="528"/>
      <c r="R61" s="233"/>
      <c r="S61" s="300"/>
      <c r="U61" s="180" t="str">
        <f>IF($D61="","",VLOOKUP($D61,'[2]m glavni turnir žrebna lista'!$A$7:$R$38,2))</f>
        <v/>
      </c>
      <c r="V61" s="285">
        <v>17</v>
      </c>
      <c r="W61" s="285" t="str">
        <f>UPPER(IF($D$39="","",VLOOKUP($D$39,'[2]m glavni turnir žrebna lista'!$A$7:$R$38,3)))</f>
        <v>OMANOVIĆ ELVIN</v>
      </c>
      <c r="X61" s="285" t="str">
        <f>PROPER(IF($D$39="","",VLOOKUP($D$39,'[2]m glavni turnir žrebna lista'!$A$7:$R$38,4)))</f>
        <v>6</v>
      </c>
      <c r="Y61" s="281" t="str">
        <f>IF(W61="","",IF($U$40&lt;&gt;$U$39,"",IF($J$41="bb",1,IF($J$41="","0",$I$41))))</f>
        <v>0</v>
      </c>
      <c r="Z61" s="281" t="str">
        <f>IF($W$45="","",IF($U$42&lt;&gt;$U$39,"",IF($L$43="bb",1,IF($L$43="","0",$K$44))))</f>
        <v/>
      </c>
      <c r="AA61" s="281" t="str">
        <f>IF($W$45="","",IF($U$46&lt;&gt;$U$39,"",IF($N$47="bb",1,IF($N$47="","0",$M$50))))</f>
        <v/>
      </c>
      <c r="AB61" s="281" t="str">
        <f>IF($W$45="","",IF($U$54&lt;&gt;$U$39,"",IF($P$55="bb",1,IF($P$55="","0",$O$62))))</f>
        <v/>
      </c>
      <c r="AC61" s="281" t="str">
        <f>IF($W$45="","",IF($U$38&lt;&gt;$U$39,"",IF($P$39="bb",1,IF($P$39="","0",$Q$22))))</f>
        <v/>
      </c>
      <c r="AD61" s="281"/>
      <c r="AE61" s="292">
        <f t="shared" si="3"/>
        <v>0</v>
      </c>
      <c r="AF61" s="283">
        <f>IF($C39="","",'m glavni 35+'!$C$39)</f>
        <v>0</v>
      </c>
      <c r="AG61" s="285" t="str">
        <f>UPPER(IF($D$39="","",VLOOKUP($D$39,'[2]m glavni turnir žrebna lista'!$A$7:$R$38,3)))</f>
        <v>OMANOVIĆ ELVIN</v>
      </c>
      <c r="AH61" s="285" t="str">
        <f>PROPER(IF($D$39="","",VLOOKUP($D$39,'[2]m glavni turnir žrebna lista'!$A$7:$R$38,4)))</f>
        <v>6</v>
      </c>
      <c r="AI61" s="285" t="str">
        <f>UPPER(IF($D$39="","",VLOOKUP($D$39,'[2]m glavni turnir žrebna lista'!$A$7:$R$38,5)))</f>
        <v/>
      </c>
      <c r="AJ61" s="292">
        <f t="shared" si="4"/>
        <v>0</v>
      </c>
    </row>
    <row r="62" spans="1:36" s="234" customFormat="1" ht="9.6" customHeight="1">
      <c r="A62" s="239"/>
      <c r="B62" s="240"/>
      <c r="C62" s="240"/>
      <c r="D62" s="256"/>
      <c r="E62" s="227"/>
      <c r="F62" s="227"/>
      <c r="G62" s="267"/>
      <c r="H62" s="268"/>
      <c r="I62" s="257"/>
      <c r="J62" s="227"/>
      <c r="K62" s="228"/>
      <c r="L62" s="243" t="s">
        <v>87</v>
      </c>
      <c r="M62" s="258"/>
      <c r="N62" s="259" t="str">
        <f>UPPER(IF(OR(M62="a",M62="as"),L58,IF(OR(M62="b",M62="bs"),L66,)))</f>
        <v/>
      </c>
      <c r="O62" s="297">
        <f>IF(OR(M62="a",M62="as"),M58,IF(OR(M62="b",M62="bs"),M66,))</f>
        <v>0</v>
      </c>
      <c r="P62" s="526"/>
      <c r="Q62" s="528"/>
      <c r="R62" s="304" t="str">
        <f>IF($R$63&gt;=310,1,IF($R$63&gt;=220,2,IF($R$63&gt;=10,3,"")))</f>
        <v/>
      </c>
      <c r="S62" s="300"/>
      <c r="U62" s="180" t="str">
        <f>IF(OR(M62="a",M62="as"),U58,IF(OR(M62="b",M62="bs"),U66,""))</f>
        <v/>
      </c>
      <c r="V62" s="285">
        <v>18</v>
      </c>
      <c r="W62" s="285" t="str">
        <f>UPPER(IF($D$41="","",VLOOKUP($D$41,'[2]m glavni turnir žrebna lista'!$A$7:$R$38,3)))</f>
        <v/>
      </c>
      <c r="X62" s="285" t="str">
        <f>PROPER(IF($D$41="","",VLOOKUP($D$41,'[2]m glavni turnir žrebna lista'!$A$7:$R$38,4)))</f>
        <v/>
      </c>
      <c r="Y62" s="281" t="str">
        <f>IF(W62="","",IF($U$40&lt;&gt;$U$41,"",IF($J$41="bb",1,IF($J$41="","0",$I$39))))</f>
        <v/>
      </c>
      <c r="Z62" s="281" t="str">
        <f>IF($W$45="","",IF($U$42&lt;&gt;$U$41,"",IF($L$43="bb",1,IF($L$43="","0",$K$44))))</f>
        <v>0</v>
      </c>
      <c r="AA62" s="281" t="str">
        <f>IF($W$45="","",IF($U$46&lt;&gt;$U$41,"",IF($N$47="bb",1,IF($N$47="","0",$M$50))))</f>
        <v>0</v>
      </c>
      <c r="AB62" s="281" t="str">
        <f>IF($W$45="","",IF($U$54&lt;&gt;$U$41,"",IF($P$55="bb",1,IF($P$55="","0",$O$62))))</f>
        <v>0</v>
      </c>
      <c r="AC62" s="281" t="str">
        <f>IF($W$45="","",IF($U$38&lt;&gt;$U$41,"",IF($P$39="bb",1,IF($P$39="","0",$Q$22))))</f>
        <v>0</v>
      </c>
      <c r="AD62" s="281"/>
      <c r="AE62" s="292">
        <f t="shared" si="3"/>
        <v>0</v>
      </c>
      <c r="AF62" s="283" t="str">
        <f>IF($C41="","",'m glavni 35+'!$C$41)</f>
        <v/>
      </c>
      <c r="AG62" s="285" t="str">
        <f>UPPER(IF($D$41="","",VLOOKUP($D$41,'[2]m glavni turnir žrebna lista'!$A$7:$R$38,3)))</f>
        <v/>
      </c>
      <c r="AH62" s="285" t="str">
        <f>PROPER(IF($D$41="","",VLOOKUP($D$41,'[2]m glavni turnir žrebna lista'!$A$7:$R$38,4)))</f>
        <v/>
      </c>
      <c r="AI62" s="285" t="str">
        <f>UPPER(IF($D$41="","",VLOOKUP($D$41,'[2]m glavni turnir žrebna lista'!$A$7:$R$38,5)))</f>
        <v/>
      </c>
      <c r="AJ62" s="292">
        <f t="shared" si="4"/>
        <v>0</v>
      </c>
    </row>
    <row r="63" spans="1:36" s="234" customFormat="1" ht="9.6" customHeight="1">
      <c r="A63" s="239">
        <v>29</v>
      </c>
      <c r="B63" s="251">
        <f>IF($D63="","",VLOOKUP($D63,'[2]m glavni turnir žrebna lista'!$A$7:$R$38,17))</f>
        <v>0</v>
      </c>
      <c r="C63" s="251">
        <f>IF($D63="","",VLOOKUP($D63,'[2]m glavni turnir žrebna lista'!$A$7:$R$38,2))</f>
        <v>0</v>
      </c>
      <c r="D63" s="225">
        <v>11</v>
      </c>
      <c r="E63" s="252" t="str">
        <f>UPPER(IF($D63="","",VLOOKUP($D63,'[2]m glavni turnir žrebna lista'!$A$7:$R$38,3)))</f>
        <v>BENČINA JAKA</v>
      </c>
      <c r="F63" s="252" t="str">
        <f>PROPER(IF($D63="","",VLOOKUP($D63,'[2]m glavni turnir žrebna lista'!$A$7:$R$38,4)))</f>
        <v/>
      </c>
      <c r="G63" s="252"/>
      <c r="H63" s="252">
        <f>IF($D63="","",VLOOKUP($D63,'[2]m glavni turnir žrebna lista'!$A$7:$R$38,5))</f>
        <v>0</v>
      </c>
      <c r="I63" s="226">
        <f>IF($D63="","",VLOOKUP($D63,'[2]m glavni turnir žrebna lista'!$A$7:$R$38,14))</f>
        <v>0</v>
      </c>
      <c r="J63" s="227"/>
      <c r="K63" s="228"/>
      <c r="L63" s="227"/>
      <c r="M63" s="265"/>
      <c r="N63" s="254"/>
      <c r="O63" s="262"/>
      <c r="P63" s="305" t="s">
        <v>98</v>
      </c>
      <c r="Q63" s="306">
        <f>MIN(J4,R62)</f>
        <v>0</v>
      </c>
      <c r="R63" s="304">
        <f>SUM(LARGE(H72:H79,{1}),LARGE(H72:H79,{2}),LARGE(H72:H79,{3}),LARGE(H72:H79,{4}))</f>
        <v>0</v>
      </c>
      <c r="S63" s="300"/>
      <c r="U63" s="180">
        <f>IF($D63="","",VLOOKUP($D63,'[2]m glavni turnir žrebna lista'!$A$7:$R$38,2))</f>
        <v>0</v>
      </c>
      <c r="V63" s="285">
        <v>19</v>
      </c>
      <c r="W63" s="285" t="str">
        <f>UPPER(IF($D$43="","",VLOOKUP($D$43,'[2]m glavni turnir žrebna lista'!$A$7:$R$38,3)))</f>
        <v>KVAS MIHA</v>
      </c>
      <c r="X63" s="285" t="str">
        <f>PROPER(IF($D$43="","",VLOOKUP($D$43,'[2]m glavni turnir žrebna lista'!$A$7:$R$38,4)))</f>
        <v/>
      </c>
      <c r="Y63" s="281" t="str">
        <f>IF(W63="","",IF($U$44&lt;&gt;$U$43,"",IF($J$45="bb",1,IF($J$45="","0",$I$45))))</f>
        <v/>
      </c>
      <c r="Z63" s="281" t="str">
        <f>IF($W$45="","",IF($U$42&lt;&gt;$U$43,"",IF($L$43="bb",1,IF($L$43="","0",$K$40))))</f>
        <v/>
      </c>
      <c r="AA63" s="281" t="str">
        <f>IF($W$45="","",IF($U$46&lt;&gt;$U$43,"",IF($N$47="bb",1,IF($N$47="","0",$M$50))))</f>
        <v/>
      </c>
      <c r="AB63" s="281" t="str">
        <f>IF($W$45="","",IF($U$54&lt;&gt;$U$43,"",IF($P$55="bb",1,IF($P$55="","0",$O$62))))</f>
        <v/>
      </c>
      <c r="AC63" s="281" t="str">
        <f>IF($W$45="","",IF($U$38&lt;&gt;$U$43,"",IF($P$39="bb",1,IF($P$39="","0",$Q$22))))</f>
        <v/>
      </c>
      <c r="AD63" s="281"/>
      <c r="AE63" s="292">
        <f t="shared" si="3"/>
        <v>0</v>
      </c>
      <c r="AF63" s="283">
        <f>IF($C43="","",'m glavni 35+'!$C$43)</f>
        <v>0</v>
      </c>
      <c r="AG63" s="285" t="str">
        <f>UPPER(IF($D$43="","",VLOOKUP($D$43,'[2]m glavni turnir žrebna lista'!$A$7:$R$38,3)))</f>
        <v>KVAS MIHA</v>
      </c>
      <c r="AH63" s="285" t="str">
        <f>PROPER(IF($D$43="","",VLOOKUP($D$43,'[2]m glavni turnir žrebna lista'!$A$7:$R$38,4)))</f>
        <v/>
      </c>
      <c r="AI63" s="285" t="str">
        <f>UPPER(IF($D$43="","",VLOOKUP($D$43,'[2]m glavni turnir žrebna lista'!$A$7:$R$38,5)))</f>
        <v/>
      </c>
      <c r="AJ63" s="292">
        <f t="shared" si="4"/>
        <v>0</v>
      </c>
    </row>
    <row r="64" spans="1:36" s="234" customFormat="1" ht="9.6" customHeight="1">
      <c r="A64" s="239"/>
      <c r="B64" s="240"/>
      <c r="C64" s="240"/>
      <c r="D64" s="256"/>
      <c r="E64" s="241"/>
      <c r="F64" s="241"/>
      <c r="G64" s="242"/>
      <c r="H64" s="243" t="s">
        <v>87</v>
      </c>
      <c r="I64" s="244"/>
      <c r="J64" s="259" t="str">
        <f>UPPER(IF(OR(I64="a",I64="as"),E63,IF(OR(I64="b",I64="bs"),E65,)))</f>
        <v/>
      </c>
      <c r="K64" s="246">
        <f>IF(OR(I64="a",I64="as"),I63,IF(OR(I64="b",I64="bs"),I65,))</f>
        <v>0</v>
      </c>
      <c r="L64" s="227"/>
      <c r="M64" s="265"/>
      <c r="N64" s="261"/>
      <c r="O64" s="262"/>
      <c r="P64" s="307" t="s">
        <v>99</v>
      </c>
      <c r="Q64" s="308" t="str">
        <f>IF($C$2="B turnir",16,IF($Q$63=1,480,IF($Q$63=2,240,IF($Q$63=3,160,""))))</f>
        <v/>
      </c>
      <c r="R64" s="233"/>
      <c r="S64" s="300"/>
      <c r="U64" s="180" t="str">
        <f>IF(OR(I64="a",I64="as"),C63,IF(OR(I64="b",I64="bs"),C65,""))</f>
        <v/>
      </c>
      <c r="V64" s="285">
        <v>20</v>
      </c>
      <c r="W64" s="285" t="str">
        <f>UPPER(IF($D$45="","",VLOOKUP($D$45,'[2]m glavni turnir žrebna lista'!$A$7:$R$38,3)))</f>
        <v>SMERKOL ROK</v>
      </c>
      <c r="X64" s="285" t="str">
        <f>PROPER(IF($D$45="","",VLOOKUP($D$45,'[2]m glavni turnir žrebna lista'!$A$7:$R$38,4)))</f>
        <v/>
      </c>
      <c r="Y64" s="281" t="str">
        <f>IF(W64="","",IF($U$44&lt;&gt;$U$45,"",IF($J$45="bb",1,IF($J$45="","0",$I$43))))</f>
        <v/>
      </c>
      <c r="Z64" s="281" t="str">
        <f>IF($W$45="","",IF($U$42&lt;&gt;$U$45,"",IF($L$43="bb",1,IF($L$43="","0",$K$40))))</f>
        <v/>
      </c>
      <c r="AA64" s="281" t="str">
        <f>IF($W$45="","",IF($U$46&lt;&gt;$U$45,"",IF($N$47="bb",1,IF($N$47="","0",$M$50))))</f>
        <v/>
      </c>
      <c r="AB64" s="281" t="str">
        <f>IF($W$45="","",IF($U$54&lt;&gt;$U$45,"",IF($P$55="bb",1,IF($P$55="","0",$O$62))))</f>
        <v/>
      </c>
      <c r="AC64" s="281" t="str">
        <f>IF($W$45="","",IF($U$38&lt;&gt;$U$45,"",IF($P$39="bb",1,IF($P$39="","0",$Q$22))))</f>
        <v/>
      </c>
      <c r="AD64" s="281"/>
      <c r="AE64" s="292">
        <f t="shared" si="3"/>
        <v>0</v>
      </c>
      <c r="AF64" s="283">
        <f>IF($C45="","",'m glavni 35+'!$C$45)</f>
        <v>0</v>
      </c>
      <c r="AG64" s="285" t="str">
        <f>UPPER(IF($D$45="","",VLOOKUP($D$45,'[2]m glavni turnir žrebna lista'!$A$7:$R$38,3)))</f>
        <v>SMERKOL ROK</v>
      </c>
      <c r="AH64" s="285" t="str">
        <f>PROPER(IF($D$45="","",VLOOKUP($D$45,'[2]m glavni turnir žrebna lista'!$A$7:$R$38,4)))</f>
        <v/>
      </c>
      <c r="AI64" s="285" t="str">
        <f>UPPER(IF($D$45="","",VLOOKUP($D$45,'[2]m glavni turnir žrebna lista'!$A$7:$R$38,5)))</f>
        <v/>
      </c>
      <c r="AJ64" s="292">
        <f t="shared" si="4"/>
        <v>0</v>
      </c>
    </row>
    <row r="65" spans="1:36" s="234" customFormat="1" ht="9.6" customHeight="1">
      <c r="A65" s="239">
        <v>30</v>
      </c>
      <c r="B65" s="251">
        <f>IF($D65="","",VLOOKUP($D65,'[2]m glavni turnir žrebna lista'!$A$7:$R$38,17))</f>
        <v>0</v>
      </c>
      <c r="C65" s="251">
        <f>IF($D65="","",VLOOKUP($D65,'[2]m glavni turnir žrebna lista'!$A$7:$R$38,2))</f>
        <v>0</v>
      </c>
      <c r="D65" s="225">
        <v>18</v>
      </c>
      <c r="E65" s="252" t="str">
        <f>UPPER(IF($D65="","",VLOOKUP($D65,'[2]m glavni turnir žrebna lista'!$A$7:$R$38,3)))</f>
        <v>LEVOVNIK JURE</v>
      </c>
      <c r="F65" s="252" t="str">
        <f>PROPER(IF($D65="","",VLOOKUP($D65,'[2]m glavni turnir žrebna lista'!$A$7:$R$38,4)))</f>
        <v/>
      </c>
      <c r="G65" s="252"/>
      <c r="H65" s="252">
        <f>IF($D65="","",VLOOKUP($D65,'[2]m glavni turnir žrebna lista'!$A$7:$R$38,5))</f>
        <v>0</v>
      </c>
      <c r="I65" s="253">
        <f>IF($D65="","",VLOOKUP($D65,'[2]m glavni turnir žrebna lista'!$A$7:$R$38,14))</f>
        <v>0</v>
      </c>
      <c r="J65" s="254"/>
      <c r="K65" s="255"/>
      <c r="L65" s="227"/>
      <c r="M65" s="265"/>
      <c r="N65" s="261"/>
      <c r="O65" s="262"/>
      <c r="P65" s="309" t="s">
        <v>100</v>
      </c>
      <c r="Q65" s="310" t="str">
        <f>IF($C$2="B turnir",12,IF($Q$63=1,360,IF($Q$63=2,180,IF($Q$63=3,120,""))))</f>
        <v/>
      </c>
      <c r="R65" s="233"/>
      <c r="S65" s="300"/>
      <c r="U65" s="180">
        <f>IF($D65="","",VLOOKUP($D65,'[2]m glavni turnir žrebna lista'!$A$7:$R$38,2))</f>
        <v>0</v>
      </c>
      <c r="V65" s="285">
        <v>21</v>
      </c>
      <c r="W65" s="285" t="str">
        <f>UPPER(IF($D$47="","",VLOOKUP($D$47,'[2]m glavni turnir žrebna lista'!$A$7:$R$38,3)))</f>
        <v>JOLIČ RADE</v>
      </c>
      <c r="X65" s="285" t="str">
        <f>PROPER(IF($D$47="","",VLOOKUP($D$47,'[2]m glavni turnir žrebna lista'!$A$7:$R$38,4)))</f>
        <v/>
      </c>
      <c r="Y65" s="281" t="str">
        <f>IF(W65="","",IF($U$48&lt;&gt;$U$47,"",IF($J$49="bb",1,IF($J$49="","0",$I$49))))</f>
        <v/>
      </c>
      <c r="Z65" s="281" t="str">
        <f>IF($W$45="","",IF($U$50&lt;&gt;$U$47,"",IF($L$51="bb",1,IF($L$51="","0",$K$52))))</f>
        <v/>
      </c>
      <c r="AA65" s="281" t="str">
        <f>IF($W$45="","",IF($U$46&lt;&gt;$U$47,"",IF($N$47="bb",1,IF($N$47="","0",$M$42))))</f>
        <v/>
      </c>
      <c r="AB65" s="281" t="str">
        <f>IF($W$45="","",IF($U$54&lt;&gt;$U$47,"",IF($P$55="bb",1,IF($P$55="","0",$O$62))))</f>
        <v/>
      </c>
      <c r="AC65" s="281" t="str">
        <f>IF($W$45="","",IF($U$38&lt;&gt;$U$47,"",IF($P$39="bb",1,IF($P$39="","0",$Q$22))))</f>
        <v/>
      </c>
      <c r="AD65" s="281"/>
      <c r="AE65" s="292">
        <f t="shared" si="3"/>
        <v>0</v>
      </c>
      <c r="AF65" s="283">
        <f>IF($C47="","",'m glavni 35+'!$C$47)</f>
        <v>0</v>
      </c>
      <c r="AG65" s="285" t="str">
        <f>UPPER(IF($D$47="","",VLOOKUP($D$47,'[2]m glavni turnir žrebna lista'!$A$7:$R$38,3)))</f>
        <v>JOLIČ RADE</v>
      </c>
      <c r="AH65" s="285" t="str">
        <f>PROPER(IF($D$47="","",VLOOKUP($D$47,'[2]m glavni turnir žrebna lista'!$A$7:$R$38,4)))</f>
        <v/>
      </c>
      <c r="AI65" s="285" t="str">
        <f>UPPER(IF($D$47="","",VLOOKUP($D$47,'[2]m glavni turnir žrebna lista'!$A$7:$R$38,5)))</f>
        <v/>
      </c>
      <c r="AJ65" s="292">
        <f t="shared" si="4"/>
        <v>0</v>
      </c>
    </row>
    <row r="66" spans="1:36" s="234" customFormat="1" ht="9.6" customHeight="1">
      <c r="A66" s="239"/>
      <c r="B66" s="240"/>
      <c r="C66" s="240"/>
      <c r="D66" s="256"/>
      <c r="E66" s="241"/>
      <c r="F66" s="241"/>
      <c r="G66" s="242"/>
      <c r="H66" s="227"/>
      <c r="I66" s="257"/>
      <c r="J66" s="243" t="s">
        <v>87</v>
      </c>
      <c r="K66" s="258"/>
      <c r="L66" s="259" t="str">
        <f>UPPER(IF(OR(K66="a",K66="as"),J64,IF(OR(K66="b",K66="bs"),J68,)))</f>
        <v/>
      </c>
      <c r="M66" s="271">
        <f>IF(OR(K66="a",K66="as"),K64,IF(OR(K66="b",K66="bs"),K68,))</f>
        <v>0</v>
      </c>
      <c r="N66" s="261"/>
      <c r="O66" s="262"/>
      <c r="P66" s="309" t="s">
        <v>101</v>
      </c>
      <c r="Q66" s="310" t="str">
        <f>IF($C$2="B turnir",8,IF($Q$63=1,240,IF($Q$63=2,120,IF($Q$63=3,80,""))))</f>
        <v/>
      </c>
      <c r="R66" s="233"/>
      <c r="S66" s="300"/>
      <c r="U66" s="180" t="str">
        <f>IF(OR(K66="a",K66="as"),U64,IF(OR(K66="b",K66="bs"),U68,""))</f>
        <v/>
      </c>
      <c r="V66" s="285">
        <v>22</v>
      </c>
      <c r="W66" s="285" t="str">
        <f>UPPER(IF($D$49="","",VLOOKUP($D$49,'[2]m glavni turnir žrebna lista'!$A$7:$R$38,3)))</f>
        <v>JOVANOVIČ ZORAN</v>
      </c>
      <c r="X66" s="285" t="str">
        <f>PROPER(IF($D$49="","",VLOOKUP($D$49,'[2]m glavni turnir žrebna lista'!$A$7:$R$38,4)))</f>
        <v/>
      </c>
      <c r="Y66" s="281" t="str">
        <f>IF(W66="","",IF($U$48&lt;&gt;$U$49,"",IF($J$49="bb",1,IF($J$49="","0",$I$47))))</f>
        <v/>
      </c>
      <c r="Z66" s="281" t="str">
        <f>IF($W$45="","",IF($U$50&lt;&gt;$U$49,"",IF($L$51="bb",1,IF($L$51="","0",$K$52))))</f>
        <v/>
      </c>
      <c r="AA66" s="281" t="str">
        <f>IF($W$45="","",IF($U$46&lt;&gt;$U$49,"",IF($N$47="bb",1,IF($N$47="","0",$M$42))))</f>
        <v/>
      </c>
      <c r="AB66" s="281" t="str">
        <f>IF($W$45="","",IF($U$54&lt;&gt;$U$49,"",IF($P$55="bb",1,IF($P$55="","0",$O$62))))</f>
        <v/>
      </c>
      <c r="AC66" s="281" t="str">
        <f>IF($W$45="","",IF($U$38&lt;&gt;$U$49,"",IF($P$39="bb",1,IF($P$39="","0",$Q$22))))</f>
        <v/>
      </c>
      <c r="AD66" s="281"/>
      <c r="AE66" s="292">
        <f t="shared" si="3"/>
        <v>0</v>
      </c>
      <c r="AF66" s="283">
        <f>IF($C49="","",'m glavni 35+'!$C$49)</f>
        <v>0</v>
      </c>
      <c r="AG66" s="285" t="str">
        <f>UPPER(IF($D$49="","",VLOOKUP($D$49,'[2]m glavni turnir žrebna lista'!$A$7:$R$38,3)))</f>
        <v>JOVANOVIČ ZORAN</v>
      </c>
      <c r="AH66" s="285" t="str">
        <f>PROPER(IF($D$49="","",VLOOKUP($D$49,'[2]m glavni turnir žrebna lista'!$A$7:$R$38,4)))</f>
        <v/>
      </c>
      <c r="AI66" s="285" t="str">
        <f>UPPER(IF($D$49="","",VLOOKUP($D49,'[2]m glavni turnir žrebna lista'!$A$7:$R$38,5)))</f>
        <v/>
      </c>
      <c r="AJ66" s="292">
        <f t="shared" si="4"/>
        <v>0</v>
      </c>
    </row>
    <row r="67" spans="1:36" s="234" customFormat="1" ht="9.6" customHeight="1">
      <c r="A67" s="239">
        <v>31</v>
      </c>
      <c r="B67" s="251" t="str">
        <f>IF($D67="","",VLOOKUP($D67,'[2]m glavni turnir žrebna lista'!$A$7:$R$38,17))</f>
        <v/>
      </c>
      <c r="C67" s="251" t="str">
        <f>IF($D67="","",VLOOKUP($D67,'[2]m glavni turnir žrebna lista'!$A$7:$R$38,2))</f>
        <v/>
      </c>
      <c r="D67" s="225"/>
      <c r="E67" s="252" t="s">
        <v>3</v>
      </c>
      <c r="F67" s="252" t="str">
        <f>PROPER(IF($D67="","",VLOOKUP($D67,'[2]m glavni turnir žrebna lista'!$A$7:$R$38,4)))</f>
        <v/>
      </c>
      <c r="G67" s="252"/>
      <c r="H67" s="252" t="str">
        <f>IF($D67="","",VLOOKUP($D67,'[2]m glavni turnir žrebna lista'!$A$7:$R$38,5))</f>
        <v/>
      </c>
      <c r="I67" s="226" t="str">
        <f>IF($D67="","",VLOOKUP($D67,'[2]m glavni turnir žrebna lista'!$A$7:$R$38,14))</f>
        <v/>
      </c>
      <c r="J67" s="227"/>
      <c r="K67" s="264"/>
      <c r="L67" s="254"/>
      <c r="M67" s="262"/>
      <c r="N67" s="261"/>
      <c r="O67" s="262"/>
      <c r="P67" s="309" t="s">
        <v>102</v>
      </c>
      <c r="Q67" s="310" t="str">
        <f>IF($C$2="B turnir",4,IF($Q$63=1,120,IF($Q$63=2,60,IF($Q$63=3,40,""))))</f>
        <v/>
      </c>
      <c r="R67" s="233"/>
      <c r="S67" s="300"/>
      <c r="U67" s="180" t="str">
        <f>IF($D67="","",VLOOKUP($D67,'[2]m glavni turnir žrebna lista'!$A$7:$R$38,2))</f>
        <v/>
      </c>
      <c r="V67" s="285">
        <v>23</v>
      </c>
      <c r="W67" s="285" t="str">
        <f>UPPER(IF($D$51="","",VLOOKUP($D$51,'[2]m glavni turnir žrebna lista'!$A$7:$R$38,3)))</f>
        <v/>
      </c>
      <c r="X67" s="285" t="str">
        <f>PROPER(IF($D$51="","",VLOOKUP($D$51,'[2]m glavni turnir žrebna lista'!$A$7:$R$38,4)))</f>
        <v/>
      </c>
      <c r="Y67" s="281" t="str">
        <f>IF(W67="","",IF($U$52&lt;&gt;$U$51,"",IF($J$53="bb",1,IF($J$53="","0",$I$53))))</f>
        <v/>
      </c>
      <c r="Z67" s="281" t="str">
        <f>IF($W$45="","",IF($U$50&lt;&gt;$U$51,"",IF($L$51="bb",1,IF($L$51="","0",$K$48))))</f>
        <v>0</v>
      </c>
      <c r="AA67" s="281" t="str">
        <f>IF($W$45="","",IF($U$46&lt;&gt;$U$51,"",IF($N$47="bb",1,IF($N$47="","0",$M$42))))</f>
        <v>0</v>
      </c>
      <c r="AB67" s="281" t="str">
        <f>IF($W$45="","",IF($U$54&lt;&gt;$U$51,"",IF($P$55="bb",1,IF($P$55="","0",$O$62))))</f>
        <v>0</v>
      </c>
      <c r="AC67" s="281" t="str">
        <f>IF($W$45="","",IF($U$38&lt;&gt;$U$51,"",IF($P$39="bb",1,IF($P$39="","0",$Q$22))))</f>
        <v>0</v>
      </c>
      <c r="AD67" s="281"/>
      <c r="AE67" s="292">
        <f t="shared" si="3"/>
        <v>0</v>
      </c>
      <c r="AF67" s="283" t="str">
        <f>IF($C51="","",'m glavni 35+'!$C$51)</f>
        <v/>
      </c>
      <c r="AG67" s="285" t="str">
        <f>UPPER(IF($D$51="","",VLOOKUP($D$51,'[2]m glavni turnir žrebna lista'!$A$7:$R$38,3)))</f>
        <v/>
      </c>
      <c r="AH67" s="285" t="str">
        <f>PROPER(IF($D$51="","",VLOOKUP($D$51,'[2]m glavni turnir žrebna lista'!$A$7:$R$38,4)))</f>
        <v/>
      </c>
      <c r="AI67" s="285" t="str">
        <f>UPPER(IF($D$51="","",VLOOKUP($D$51,'[2]m glavni turnir žrebna lista'!$A$7:$R$38,5)))</f>
        <v/>
      </c>
      <c r="AJ67" s="292">
        <f t="shared" si="4"/>
        <v>0</v>
      </c>
    </row>
    <row r="68" spans="1:36" s="234" customFormat="1" ht="9.6" customHeight="1">
      <c r="A68" s="239"/>
      <c r="B68" s="240"/>
      <c r="C68" s="240"/>
      <c r="D68" s="240"/>
      <c r="E68" s="241"/>
      <c r="F68" s="241"/>
      <c r="G68" s="242"/>
      <c r="H68" s="243" t="s">
        <v>87</v>
      </c>
      <c r="I68" s="244"/>
      <c r="J68" s="245" t="s">
        <v>125</v>
      </c>
      <c r="K68" s="266">
        <f>IF(OR(I68="a",I68="as"),I67,IF(OR(I68="b",I68="bs"),I69,))</f>
        <v>0</v>
      </c>
      <c r="L68" s="227"/>
      <c r="M68" s="262"/>
      <c r="N68" s="261"/>
      <c r="O68" s="262"/>
      <c r="P68" s="309" t="s">
        <v>104</v>
      </c>
      <c r="Q68" s="310" t="str">
        <f>IF($C$2="B turnir",2,IF($Q$63=1,60,IF($Q$63=2,30,IF($Q$63=3,20,""))))</f>
        <v/>
      </c>
      <c r="R68" s="233"/>
      <c r="S68" s="300"/>
      <c r="U68" s="180" t="str">
        <f>IF(OR(I68="a",I68="as"),C67,IF(OR(I68="b",I68="bs"),C69,""))</f>
        <v/>
      </c>
      <c r="V68" s="285">
        <v>24</v>
      </c>
      <c r="W68" s="285" t="str">
        <f>UPPER(IF($D$53="","",VLOOKUP($D$53,'[2]m glavni turnir žrebna lista'!$A$7:$R$38,3)))</f>
        <v>JANHAR BLAŽ</v>
      </c>
      <c r="X68" s="285" t="str">
        <f>PROPER(IF($D$53="","",VLOOKUP($D$53,'[2]m glavni turnir žrebna lista'!$A$7:$R$38,4)))</f>
        <v>4</v>
      </c>
      <c r="Y68" s="281" t="str">
        <f>IF(W68="","",IF($U$52&lt;&gt;$U$53,"",IF($J$53="bb",1,IF($J$53="","0",$I$51))))</f>
        <v/>
      </c>
      <c r="Z68" s="281" t="str">
        <f>IF($W$45="","",IF($U$50&lt;&gt;$U$53,"",IF($L$51="bb",1,IF($L$51="","0",$K$48))))</f>
        <v/>
      </c>
      <c r="AA68" s="281" t="str">
        <f>IF($W$45="","",IF($U$46&lt;&gt;$U$53,"",IF($N$47="bb",1,IF($N$47="","0",$M$42))))</f>
        <v/>
      </c>
      <c r="AB68" s="281" t="str">
        <f>IF($W$45="","",IF($U$54&lt;&gt;$U$53,"",IF($P$55="bb",1,IF($P$55="","0",$O$62))))</f>
        <v/>
      </c>
      <c r="AC68" s="281" t="str">
        <f>IF($W$45="","",IF($U$38&lt;&gt;$U$53,"",IF($P$39="bb",1,IF($P$39="","0",$Q$22))))</f>
        <v/>
      </c>
      <c r="AD68" s="281"/>
      <c r="AE68" s="292">
        <f t="shared" si="3"/>
        <v>0</v>
      </c>
      <c r="AF68" s="283">
        <f>IF($C53="","",'m glavni 35+'!$C$53)</f>
        <v>0</v>
      </c>
      <c r="AG68" s="285" t="str">
        <f>UPPER(IF($D$53="","",VLOOKUP($D$53,'[2]m glavni turnir žrebna lista'!$A$7:$R$38,3)))</f>
        <v>JANHAR BLAŽ</v>
      </c>
      <c r="AH68" s="285" t="str">
        <f>PROPER(IF($D$53="","",VLOOKUP($D$53,'[2]m glavni turnir žrebna lista'!$A$7:$R$38,4)))</f>
        <v>4</v>
      </c>
      <c r="AI68" s="285" t="str">
        <f>UPPER(IF($D$53="","",VLOOKUP($D$53,'[2]m glavni turnir žrebna lista'!$A$7:$R$38,5)))</f>
        <v/>
      </c>
      <c r="AJ68" s="292">
        <f t="shared" si="4"/>
        <v>0</v>
      </c>
    </row>
    <row r="69" spans="1:36" s="234" customFormat="1" ht="9.6" customHeight="1">
      <c r="A69" s="223">
        <v>32</v>
      </c>
      <c r="B69" s="224">
        <f>IF($D69="","",VLOOKUP($D69,'[2]m glavni turnir žrebna lista'!$A$7:$R$38,17))</f>
        <v>0</v>
      </c>
      <c r="C69" s="224">
        <f>IF($D69="","",VLOOKUP($D69,'[2]m glavni turnir žrebna lista'!$A$7:$R$38,2))</f>
        <v>0</v>
      </c>
      <c r="D69" s="225">
        <v>2</v>
      </c>
      <c r="E69" s="224" t="str">
        <f>UPPER(IF($D69="","",VLOOKUP($D69,'[2]m glavni turnir žrebna lista'!$A$7:$R$38,3)))</f>
        <v>MAČEK ALEŠ</v>
      </c>
      <c r="F69" s="224" t="str">
        <f>PROPER(IF($D69="","",VLOOKUP($D69,'[2]m glavni turnir žrebna lista'!$A$7:$R$38,4)))</f>
        <v>2</v>
      </c>
      <c r="G69" s="224"/>
      <c r="H69" s="224">
        <f>IF($D69="","",VLOOKUP($D69,'[2]m glavni turnir žrebna lista'!$A$7:$R$38,5))</f>
        <v>0</v>
      </c>
      <c r="I69" s="253">
        <f>IF($D69="","",VLOOKUP($D69,'[2]m glavni turnir žrebna lista'!$A$7:$R$38,14))</f>
        <v>0</v>
      </c>
      <c r="J69" s="254"/>
      <c r="K69" s="228"/>
      <c r="L69" s="227"/>
      <c r="M69" s="228"/>
      <c r="N69" s="229"/>
      <c r="O69" s="230"/>
      <c r="P69" s="309" t="s">
        <v>105</v>
      </c>
      <c r="Q69" s="310" t="str">
        <f>IF($C$2="B turnir",1,IF($Q$63=1,30,IF($Q$63=2,15,IF($Q$63=3,10,""))))</f>
        <v/>
      </c>
      <c r="R69" s="233"/>
      <c r="U69" s="180">
        <f>IF($D69="","",VLOOKUP($D69,'[2]m glavni turnir žrebna lista'!$A$7:$R$38,2))</f>
        <v>0</v>
      </c>
      <c r="V69" s="285">
        <v>25</v>
      </c>
      <c r="W69" s="285" t="str">
        <f>UPPER(IF($D$55="","",VLOOKUP($D$55,'[2]m glavni turnir žrebna lista'!$A$7:$R$38,3)))</f>
        <v>URANIČ DENIS</v>
      </c>
      <c r="X69" s="285" t="str">
        <f>PROPER(IF($D$55="","",VLOOKUP($D$55,'[2]m glavni turnir žrebna lista'!$A$7:$R$38,4)))</f>
        <v>8</v>
      </c>
      <c r="Y69" s="281" t="str">
        <f>IF(W69="","",IF($U$56&lt;&gt;$U$55,"",IF($J$57="bb",1,IF($J$57="","0",$I$57))))</f>
        <v>0</v>
      </c>
      <c r="Z69" s="281" t="str">
        <f>IF($W$45="","",IF($U$58&lt;&gt;$U$55,"",IF($L$59="bb",1,IF($L$59="","0",$K$60))))</f>
        <v/>
      </c>
      <c r="AA69" s="281" t="str">
        <f>IF($W$45="","",IF($U$62&lt;&gt;$U$55,"",IF($N$63="bb",1,IF($N$63="","0",$M$66))))</f>
        <v/>
      </c>
      <c r="AB69" s="281" t="str">
        <f>IF($W$45="","",IF($U$54&lt;&gt;$U$55,"",IF($P$55="bb",1,IF($P$55="","0",$O$46))))</f>
        <v/>
      </c>
      <c r="AC69" s="281" t="str">
        <f>IF($W$45="","",IF($U$38&lt;&gt;$U$55,"",IF($P$39="bb",1,IF($P$39="","0",$Q$22))))</f>
        <v/>
      </c>
      <c r="AD69" s="281"/>
      <c r="AE69" s="292">
        <f t="shared" si="3"/>
        <v>0</v>
      </c>
      <c r="AF69" s="283">
        <f>IF($C55="","",'m glavni 35+'!$C$55)</f>
        <v>0</v>
      </c>
      <c r="AG69" s="285" t="str">
        <f>UPPER(IF($D$55="","",VLOOKUP($D$55,'[2]m glavni turnir žrebna lista'!$A$7:$R$38,3)))</f>
        <v>URANIČ DENIS</v>
      </c>
      <c r="AH69" s="285" t="str">
        <f>PROPER(IF($D$55="","",VLOOKUP($D$55,'[2]m glavni turnir žrebna lista'!$A$7:$R$38,4)))</f>
        <v>8</v>
      </c>
      <c r="AI69" s="285" t="str">
        <f>UPPER(IF($D$55="","",VLOOKUP($D$55,'[2]m glavni turnir žrebna lista'!$A$7:$R$38,5)))</f>
        <v/>
      </c>
      <c r="AJ69" s="292">
        <f t="shared" si="4"/>
        <v>0</v>
      </c>
    </row>
    <row r="70" spans="1:36" s="317" customFormat="1" ht="9" customHeight="1">
      <c r="A70" s="311"/>
      <c r="B70" s="311"/>
      <c r="C70" s="311"/>
      <c r="D70" s="311"/>
      <c r="E70" s="312"/>
      <c r="F70" s="312"/>
      <c r="G70" s="312"/>
      <c r="H70" s="312"/>
      <c r="I70" s="313"/>
      <c r="J70" s="314"/>
      <c r="K70" s="315"/>
      <c r="L70" s="314"/>
      <c r="M70" s="315"/>
      <c r="N70" s="314"/>
      <c r="O70" s="315"/>
      <c r="P70" s="314"/>
      <c r="Q70" s="315"/>
      <c r="R70" s="316"/>
      <c r="U70" s="180"/>
      <c r="V70" s="285">
        <v>26</v>
      </c>
      <c r="W70" s="285" t="str">
        <f>UPPER(IF($D$57="","",VLOOKUP($D$57,'[2]m glavni turnir žrebna lista'!$A$7:$R$38,3)))</f>
        <v/>
      </c>
      <c r="X70" s="285" t="str">
        <f>PROPER(IF($D$57="","",VLOOKUP($D$57,'[2]m glavni turnir žrebna lista'!$A$7:$R$38,4)))</f>
        <v/>
      </c>
      <c r="Y70" s="281" t="str">
        <f>IF(W70="","",IF($U$56&lt;&gt;$U$57,"",IF($J$57="bb",1,IF($J$57="","0",$I$55))))</f>
        <v/>
      </c>
      <c r="Z70" s="281" t="str">
        <f>IF($W$45="","",IF($U$58&lt;&gt;$U$57,"",IF($L$59="bb",1,IF($L$59="","0",$K$60))))</f>
        <v>0</v>
      </c>
      <c r="AA70" s="281" t="str">
        <f>IF($W$45="","",IF($U$62&lt;&gt;$U$57,"",IF($N$63="bb",1,IF($N$63="","0",$M$66))))</f>
        <v>0</v>
      </c>
      <c r="AB70" s="281" t="str">
        <f>IF($W$45="","",IF($U$54&lt;&gt;$U$57,"",IF($P$55="bb",1,IF($P$55="","0",$O$46))))</f>
        <v>0</v>
      </c>
      <c r="AC70" s="281" t="str">
        <f>IF($W$45="","",IF($U$38&lt;&gt;$U$57,"",IF($P$39="bb",1,IF($P$39="","0",$Q$22))))</f>
        <v>0</v>
      </c>
      <c r="AD70" s="281"/>
      <c r="AE70" s="292">
        <f t="shared" si="3"/>
        <v>0</v>
      </c>
      <c r="AF70" s="283" t="str">
        <f>IF($C57="","",'m glavni 35+'!$C$57)</f>
        <v/>
      </c>
      <c r="AG70" s="285" t="str">
        <f>UPPER(IF($D$57="","",VLOOKUP($D$57,'[2]m glavni turnir žrebna lista'!$A$7:$R$38,3)))</f>
        <v/>
      </c>
      <c r="AH70" s="285" t="str">
        <f>PROPER(IF($D$57="","",VLOOKUP($D$57,'[2]m glavni turnir žrebna lista'!$A$7:$R$38,4)))</f>
        <v/>
      </c>
      <c r="AI70" s="285" t="str">
        <f>UPPER(IF($D$57="","",VLOOKUP($D$57,'[2]m glavni turnir žrebna lista'!$A$7:$R$38,5)))</f>
        <v/>
      </c>
      <c r="AJ70" s="292">
        <f t="shared" si="4"/>
        <v>0</v>
      </c>
    </row>
    <row r="71" spans="1:36" s="330" customFormat="1" ht="9" customHeight="1">
      <c r="A71" s="318" t="s">
        <v>106</v>
      </c>
      <c r="B71" s="319"/>
      <c r="C71" s="320"/>
      <c r="D71" s="321" t="s">
        <v>107</v>
      </c>
      <c r="E71" s="322" t="s">
        <v>108</v>
      </c>
      <c r="F71" s="321"/>
      <c r="G71" s="321" t="s">
        <v>109</v>
      </c>
      <c r="H71" s="323" t="s">
        <v>110</v>
      </c>
      <c r="I71" s="324" t="s">
        <v>107</v>
      </c>
      <c r="J71" s="322" t="s">
        <v>111</v>
      </c>
      <c r="K71" s="325"/>
      <c r="L71" s="326" t="s">
        <v>112</v>
      </c>
      <c r="M71" s="327"/>
      <c r="N71" s="328" t="s">
        <v>113</v>
      </c>
      <c r="O71" s="329"/>
      <c r="P71" s="529"/>
      <c r="Q71" s="530"/>
      <c r="U71" s="180"/>
      <c r="V71" s="285">
        <v>27</v>
      </c>
      <c r="W71" s="285" t="str">
        <f>UPPER(IF($D$59="","",VLOOKUP($D$59,'[2]m glavni turnir žrebna lista'!$A$7:$R$38,3)))</f>
        <v>KRŽIČ ANDRAŽ</v>
      </c>
      <c r="X71" s="285" t="str">
        <f>PROPER(IF($D$59="","",VLOOKUP($D$59,'[2]m glavni turnir žrebna lista'!$A$7:$R$38,4)))</f>
        <v/>
      </c>
      <c r="Y71" s="281" t="str">
        <f>IF(W71="","",IF($U$60&lt;&gt;$U$59,"",IF($J$61="bb",1,IF($J$61="","0",$I$61))))</f>
        <v>0</v>
      </c>
      <c r="Z71" s="281" t="str">
        <f>IF($W$45="","",IF($U$58&lt;&gt;$U$59,"",IF($L$59="bb",1,IF($L$59="","0",$K$56))))</f>
        <v/>
      </c>
      <c r="AA71" s="281" t="str">
        <f>IF($W$45="","",IF($U$62&lt;&gt;$U$59,"",IF($N$63="bb",1,IF($N$63="","0",$M$66))))</f>
        <v/>
      </c>
      <c r="AB71" s="281" t="str">
        <f>IF($W$45="","",IF($U$54&lt;&gt;$U$59,"",IF($P$55="bb",1,IF($P$55="","0",$O$46))))</f>
        <v/>
      </c>
      <c r="AC71" s="281" t="str">
        <f>IF($W$45="","",IF($U$38&lt;&gt;$U$59,"",IF($P$39="bb",1,IF($P$39="","0",$Q$22))))</f>
        <v/>
      </c>
      <c r="AD71" s="281"/>
      <c r="AE71" s="292">
        <f t="shared" si="3"/>
        <v>0</v>
      </c>
      <c r="AF71" s="283">
        <f>IF($C59="","",'m glavni 35+'!$C$59)</f>
        <v>0</v>
      </c>
      <c r="AG71" s="285" t="str">
        <f>UPPER(IF($D$59="","",VLOOKUP($D$59,'[2]m glavni turnir žrebna lista'!$A$7:$R$38,3)))</f>
        <v>KRŽIČ ANDRAŽ</v>
      </c>
      <c r="AH71" s="285" t="str">
        <f>PROPER(IF($D$59="","",VLOOKUP($D$59,'[2]m glavni turnir žrebna lista'!$A$7:$R$38,4)))</f>
        <v/>
      </c>
      <c r="AI71" s="285" t="str">
        <f>UPPER(IF($D$59="","",VLOOKUP($D$59,'[2]m glavni turnir žrebna lista'!$A$7:$R$38,5)))</f>
        <v/>
      </c>
      <c r="AJ71" s="292">
        <f t="shared" si="4"/>
        <v>0</v>
      </c>
    </row>
    <row r="72" spans="1:36" s="330" customFormat="1" ht="9" customHeight="1">
      <c r="A72" s="331" t="s">
        <v>65</v>
      </c>
      <c r="B72" s="332"/>
      <c r="C72" s="333"/>
      <c r="D72" s="202">
        <v>1</v>
      </c>
      <c r="E72" s="334" t="str">
        <f>UPPER(IF($D72="","",VLOOKUP($D72,'[2]m glavni turnir žrebna lista'!$A$7:$R$38,3)))</f>
        <v>ŠKRJANC MARKO</v>
      </c>
      <c r="F72" s="203"/>
      <c r="G72" s="335">
        <f>IF($D72="","",VLOOKUP($D72,'[2]m glavni turnir žrebna lista'!$A$7:$R$38,10))</f>
        <v>0</v>
      </c>
      <c r="H72" s="335">
        <f>IF($D72="","",VLOOKUP($D72,'[2]m glavni turnir žrebna lista'!$A$7:$R$38,14))</f>
        <v>0</v>
      </c>
      <c r="I72" s="336" t="s">
        <v>114</v>
      </c>
      <c r="J72" s="332"/>
      <c r="K72" s="206"/>
      <c r="L72" s="332"/>
      <c r="M72" s="337"/>
      <c r="N72" s="338" t="s">
        <v>115</v>
      </c>
      <c r="O72" s="339"/>
      <c r="P72" s="340"/>
      <c r="Q72" s="337"/>
      <c r="U72" s="180"/>
      <c r="V72" s="285">
        <v>28</v>
      </c>
      <c r="W72" s="285" t="str">
        <f>UPPER(IF($D$61="","",VLOOKUP($D$61,'[2]m glavni turnir žrebna lista'!$A$7:$R$38,3)))</f>
        <v/>
      </c>
      <c r="X72" s="285" t="str">
        <f>PROPER(IF($D$61="","",VLOOKUP($D$61,'[2]m glavni turnir žrebna lista'!$A$7:$R$38,4)))</f>
        <v/>
      </c>
      <c r="Y72" s="281" t="str">
        <f>IF(W72="","",IF($U$60&lt;&gt;$U$61,"",IF($J$61="bb",1,IF($J$61="","0",$I$59))))</f>
        <v/>
      </c>
      <c r="Z72" s="281" t="str">
        <f>IF($W$45="","",IF($U$58&lt;&gt;$U$61,"",IF($L$59="bb",1,IF($L$59="","0",$K$56))))</f>
        <v>0</v>
      </c>
      <c r="AA72" s="281" t="str">
        <f>IF($W$45="","",IF($U$62&lt;&gt;$U$61,"",IF($N$63="bb",1,IF($N$63="","0",$M$66))))</f>
        <v>0</v>
      </c>
      <c r="AB72" s="281" t="str">
        <f>IF($W$45="","",IF($U$54&lt;&gt;$U$61,"",IF($P$55="bb",1,IF($P$55="","0",$O$46))))</f>
        <v>0</v>
      </c>
      <c r="AC72" s="281" t="str">
        <f>IF($W$45="","",IF($U$38&lt;&gt;$U$61,"",IF($P$39="bb",1,IF($P$39="","0",$Q$22))))</f>
        <v>0</v>
      </c>
      <c r="AD72" s="281"/>
      <c r="AE72" s="292">
        <f t="shared" si="3"/>
        <v>0</v>
      </c>
      <c r="AF72" s="283" t="str">
        <f>IF($C61="","",'m glavni 35+'!$C$61)</f>
        <v/>
      </c>
      <c r="AG72" s="285" t="str">
        <f>UPPER(IF($D$61="","",VLOOKUP($D$61,'[2]m glavni turnir žrebna lista'!$A$7:$R$38,3)))</f>
        <v/>
      </c>
      <c r="AH72" s="285" t="str">
        <f>PROPER(IF($D$61="","",VLOOKUP($D$61,'[2]m glavni turnir žrebna lista'!$A$7:$R$38,4)))</f>
        <v/>
      </c>
      <c r="AI72" s="285" t="str">
        <f>UPPER(IF($D$61="","",VLOOKUP($D$61,'[2]m glavni turnir žrebna lista'!$A$7:$R$38,5)))</f>
        <v/>
      </c>
      <c r="AJ72" s="292">
        <f t="shared" si="4"/>
        <v>0</v>
      </c>
    </row>
    <row r="73" spans="1:36" s="330" customFormat="1" ht="9" customHeight="1">
      <c r="A73" s="518"/>
      <c r="B73" s="519"/>
      <c r="C73" s="341"/>
      <c r="D73" s="202">
        <v>2</v>
      </c>
      <c r="E73" s="334" t="str">
        <f>UPPER(IF($D73="","",VLOOKUP($D73,'[2]m glavni turnir žrebna lista'!$A$7:$R$38,3)))</f>
        <v>MAČEK ALEŠ</v>
      </c>
      <c r="F73" s="202"/>
      <c r="G73" s="335">
        <f>IF($D73="","",VLOOKUP($D73,'[2]m glavni turnir žrebna lista'!$A$7:$R$38,10))</f>
        <v>0</v>
      </c>
      <c r="H73" s="335">
        <f>IF($D73="","",VLOOKUP($D73,'[2]m glavni turnir žrebna lista'!$A$7:$R$38,14))</f>
        <v>0</v>
      </c>
      <c r="I73" s="342" t="s">
        <v>2</v>
      </c>
      <c r="J73" s="343"/>
      <c r="K73" s="206"/>
      <c r="L73" s="332"/>
      <c r="M73" s="337"/>
      <c r="N73" s="344"/>
      <c r="O73" s="345"/>
      <c r="P73" s="346"/>
      <c r="Q73" s="347"/>
      <c r="U73" s="180"/>
      <c r="V73" s="285">
        <v>29</v>
      </c>
      <c r="W73" s="285" t="str">
        <f>UPPER(IF($D$63="","",VLOOKUP($D$63,'[2]m glavni turnir žrebna lista'!$A$7:$R$38,3)))</f>
        <v>BENČINA JAKA</v>
      </c>
      <c r="X73" s="285" t="str">
        <f>PROPER(IF($D$63="","",VLOOKUP($D$63,'[2]m glavni turnir žrebna lista'!$A$7:$R$38,4)))</f>
        <v/>
      </c>
      <c r="Y73" s="281" t="str">
        <f>IF(W73="","",IF($U$64&lt;&gt;$U$63,"",IF($J$65="bb",1,IF($J$65="","0",$I$65))))</f>
        <v/>
      </c>
      <c r="Z73" s="281" t="str">
        <f>IF($W$45="","",IF($U$66&lt;&gt;$U$63,"",IF($L$67="bb",1,IF($L$67="","0",$K$68))))</f>
        <v/>
      </c>
      <c r="AA73" s="281" t="str">
        <f>IF($W$45="","",IF($U$62&lt;&gt;$U$63,"",IF($N$63="bb",1,IF($N$63="","0",$M$58))))</f>
        <v/>
      </c>
      <c r="AB73" s="281" t="str">
        <f>IF($W$45="","",IF($U$54&lt;&gt;$U$63,"",IF($P$55="bb",1,IF($P$55="","0",$O$46))))</f>
        <v/>
      </c>
      <c r="AC73" s="281" t="str">
        <f>IF($W$45="","",IF($U$38&lt;&gt;$U$63,"",IF($P$39="bb",1,IF($P$39="","0",$Q$22))))</f>
        <v/>
      </c>
      <c r="AD73" s="281"/>
      <c r="AE73" s="292">
        <f t="shared" si="3"/>
        <v>0</v>
      </c>
      <c r="AF73" s="283">
        <f>IF($C63="","",'m glavni 35+'!$C$63)</f>
        <v>0</v>
      </c>
      <c r="AG73" s="285" t="str">
        <f>UPPER(IF($D$63="","",VLOOKUP($D$63,'[2]m glavni turnir žrebna lista'!$A$7:$R$38,3)))</f>
        <v>BENČINA JAKA</v>
      </c>
      <c r="AH73" s="285" t="str">
        <f>PROPER(IF($D$63="","",VLOOKUP($D$63,'[2]m glavni turnir žrebna lista'!$A$7:$R$38,4)))</f>
        <v/>
      </c>
      <c r="AI73" s="285" t="str">
        <f>UPPER(IF($D$63="","",VLOOKUP($D$63,'[2]m glavni turnir žrebna lista'!$A$7:$R$38,5)))</f>
        <v/>
      </c>
      <c r="AJ73" s="292">
        <f t="shared" si="4"/>
        <v>0</v>
      </c>
    </row>
    <row r="74" spans="1:36" s="330" customFormat="1" ht="9" customHeight="1">
      <c r="A74" s="348"/>
      <c r="B74" s="349"/>
      <c r="C74" s="350"/>
      <c r="D74" s="202">
        <v>3</v>
      </c>
      <c r="E74" s="334" t="str">
        <f>UPPER(IF($D74="","",VLOOKUP($D74,'[2]m glavni turnir žrebna lista'!$A$7:$R$38,3)))</f>
        <v>KADIVNIK KLEMEN</v>
      </c>
      <c r="F74" s="202"/>
      <c r="G74" s="335">
        <f>IF($D74="","",VLOOKUP($D74,'[2]m glavni turnir žrebna lista'!$A$7:$R$38,10))</f>
        <v>0</v>
      </c>
      <c r="H74" s="335">
        <f>IF($D74="","",VLOOKUP($D74,'[2]m glavni turnir žrebna lista'!$A$7:$R$38,14))</f>
        <v>0</v>
      </c>
      <c r="I74" s="342" t="s">
        <v>4</v>
      </c>
      <c r="J74" s="343"/>
      <c r="K74" s="206"/>
      <c r="L74" s="332"/>
      <c r="M74" s="337"/>
      <c r="N74" s="338" t="s">
        <v>116</v>
      </c>
      <c r="O74" s="339"/>
      <c r="P74" s="340"/>
      <c r="Q74" s="337"/>
      <c r="U74" s="180"/>
      <c r="V74" s="285">
        <v>30</v>
      </c>
      <c r="W74" s="285" t="str">
        <f>UPPER(IF($D$65="","",VLOOKUP($D$65,'[2]m glavni turnir žrebna lista'!$A$7:$R$38,3)))</f>
        <v>LEVOVNIK JURE</v>
      </c>
      <c r="X74" s="285" t="str">
        <f>PROPER(IF($D$65="","",VLOOKUP($D$65,'[2]m glavni turnir žrebna lista'!$A$7:$R$38,4)))</f>
        <v/>
      </c>
      <c r="Y74" s="281" t="str">
        <f>IF(W74="","",IF($U$64&lt;&gt;$U$65,"",IF($J$65="bb",1,IF($J$65="","0",$I$63))))</f>
        <v/>
      </c>
      <c r="Z74" s="281" t="str">
        <f>IF($W$45="","",IF($U$66&lt;&gt;$U$65,"",IF($L$67="bb",1,IF($L$67="","0",$K$68))))</f>
        <v/>
      </c>
      <c r="AA74" s="281" t="str">
        <f>IF($W$45="","",IF($U$62&lt;&gt;$U$65,"",IF($N$63="bb",1,IF($N$63="","0",$M$58))))</f>
        <v/>
      </c>
      <c r="AB74" s="281" t="str">
        <f>IF($W$45="","",IF($U$54&lt;&gt;$U$65,"",IF($P$55="bb",1,IF($P$55="","0",$O$46))))</f>
        <v/>
      </c>
      <c r="AC74" s="281" t="str">
        <f>IF($W$45="","",IF($U$38&lt;&gt;$U$65,"",IF($P$39="bb",1,IF($P$39="","0",$Q$22))))</f>
        <v/>
      </c>
      <c r="AD74" s="281"/>
      <c r="AE74" s="292">
        <f t="shared" si="3"/>
        <v>0</v>
      </c>
      <c r="AF74" s="283">
        <f>IF($C65="","",'m glavni 35+'!$C$65)</f>
        <v>0</v>
      </c>
      <c r="AG74" s="285" t="str">
        <f>UPPER(IF($D$65="","",VLOOKUP($D$65,'[2]m glavni turnir žrebna lista'!$A$7:$R$38,3)))</f>
        <v>LEVOVNIK JURE</v>
      </c>
      <c r="AH74" s="285" t="str">
        <f>PROPER(IF($D$65="","",VLOOKUP($D$65,'[2]m glavni turnir žrebna lista'!$A$7:$R$38,4)))</f>
        <v/>
      </c>
      <c r="AI74" s="285" t="str">
        <f>UPPER(IF($D$65="","",VLOOKUP($D$65,'[2]m glavni turnir žrebna lista'!$A$7:$R$38,5)))</f>
        <v/>
      </c>
      <c r="AJ74" s="292">
        <f t="shared" si="4"/>
        <v>0</v>
      </c>
    </row>
    <row r="75" spans="1:36" s="330" customFormat="1" ht="9" customHeight="1">
      <c r="A75" s="351"/>
      <c r="B75" s="201"/>
      <c r="C75" s="333"/>
      <c r="D75" s="202">
        <v>4</v>
      </c>
      <c r="E75" s="334" t="str">
        <f>UPPER(IF($D75="","",VLOOKUP($D75,'[2]m glavni turnir žrebna lista'!$A$7:$R$38,3)))</f>
        <v>JANHAR BLAŽ</v>
      </c>
      <c r="F75" s="202"/>
      <c r="G75" s="335">
        <f>IF($D75="","",VLOOKUP($D75,'[2]m glavni turnir žrebna lista'!$A$7:$R$38,10))</f>
        <v>0</v>
      </c>
      <c r="H75" s="335">
        <f>IF($D75="","",VLOOKUP($D75,'[2]m glavni turnir žrebna lista'!$A$7:$R$38,14))</f>
        <v>0</v>
      </c>
      <c r="I75" s="342" t="s">
        <v>5</v>
      </c>
      <c r="J75" s="343"/>
      <c r="K75" s="206"/>
      <c r="L75" s="332"/>
      <c r="M75" s="337"/>
      <c r="N75" s="332" t="s">
        <v>117</v>
      </c>
      <c r="O75" s="206"/>
      <c r="P75" s="332"/>
      <c r="Q75" s="337"/>
      <c r="U75" s="180"/>
      <c r="V75" s="285">
        <v>31</v>
      </c>
      <c r="W75" s="285" t="str">
        <f>UPPER(IF($D$67="","",VLOOKUP($D$67,'[2]m glavni turnir žrebna lista'!$A$7:$R$38,3)))</f>
        <v/>
      </c>
      <c r="X75" s="285" t="str">
        <f>PROPER(IF($D$67="","",VLOOKUP($D$67,'[2]m glavni turnir žrebna lista'!$A$7:$R$38,4)))</f>
        <v/>
      </c>
      <c r="Y75" s="281" t="str">
        <f>IF(W75="","",IF($U$68&lt;&gt;$U$67,"",IF($J$69="bb",1,IF($J$69="","0",$I$69))))</f>
        <v/>
      </c>
      <c r="Z75" s="281" t="str">
        <f>IF($W$45="","",IF($U$66&lt;&gt;$U$67,"",IF($L$67="bb",1,IF($L$67="","0",$K$64))))</f>
        <v>0</v>
      </c>
      <c r="AA75" s="281" t="str">
        <f>IF($W$45="","",IF($U$62&lt;&gt;$U$67,"",IF($N$63="bb",1,IF($N$63="","0",$M$58))))</f>
        <v>0</v>
      </c>
      <c r="AB75" s="281" t="str">
        <f>IF($W$45="","",IF($U$54&lt;&gt;$U$67,"",IF($P$55="bb",1,IF($P$55="","0",$O$46))))</f>
        <v>0</v>
      </c>
      <c r="AC75" s="281" t="str">
        <f>IF($W$45="","",IF($U$38&lt;&gt;$U$67,"",IF($P$39="bb",1,IF($P$39="","0",$Q$22))))</f>
        <v>0</v>
      </c>
      <c r="AD75" s="281"/>
      <c r="AE75" s="292">
        <f t="shared" si="3"/>
        <v>0</v>
      </c>
      <c r="AF75" s="283" t="str">
        <f>IF($C67="","",'m glavni 35+'!$C$67)</f>
        <v/>
      </c>
      <c r="AG75" s="285" t="str">
        <f>UPPER(IF($D$67="","",VLOOKUP($D$67,'[2]m glavni turnir žrebna lista'!$A$7:$R$38,3)))</f>
        <v/>
      </c>
      <c r="AH75" s="285" t="str">
        <f>PROPER(IF($D$67="","",VLOOKUP($D$67,'[2]m glavni turnir žrebna lista'!$A$7:$R$38,4)))</f>
        <v/>
      </c>
      <c r="AI75" s="285" t="str">
        <f>UPPER(IF($D$67="","",VLOOKUP($D$67,'[2]m glavni turnir žrebna lista'!$A$7:$R$38,5)))</f>
        <v/>
      </c>
      <c r="AJ75" s="292">
        <f t="shared" si="4"/>
        <v>0</v>
      </c>
    </row>
    <row r="76" spans="1:36" s="330" customFormat="1" ht="9" customHeight="1">
      <c r="A76" s="352"/>
      <c r="B76" s="353"/>
      <c r="C76" s="354"/>
      <c r="D76" s="202">
        <v>5</v>
      </c>
      <c r="E76" s="334" t="str">
        <f>UPPER(IF($D76="","",VLOOKUP($D76,'[2]m glavni turnir žrebna lista'!$A$7:$R$38,3)))</f>
        <v>LOPATIČ MARKO</v>
      </c>
      <c r="F76" s="202"/>
      <c r="G76" s="335">
        <f>IF($D76="","",VLOOKUP($D76,'[2]m glavni turnir žrebna lista'!$A$7:$R$38,10))</f>
        <v>0</v>
      </c>
      <c r="H76" s="335">
        <f>IF($D76="","",VLOOKUP($D76,'[2]m glavni turnir žrebna lista'!$A$7:$R$38,14))</f>
        <v>0</v>
      </c>
      <c r="I76" s="342" t="s">
        <v>6</v>
      </c>
      <c r="J76" s="343"/>
      <c r="K76" s="206"/>
      <c r="L76" s="332"/>
      <c r="M76" s="337"/>
      <c r="N76" s="346"/>
      <c r="O76" s="345"/>
      <c r="P76" s="346"/>
      <c r="Q76" s="347"/>
      <c r="U76" s="180"/>
      <c r="V76" s="285">
        <v>32</v>
      </c>
      <c r="W76" s="285" t="str">
        <f>UPPER(IF($D$69="","",VLOOKUP($D$69,'[2]m glavni turnir žrebna lista'!$A$7:$R$38,3)))</f>
        <v>MAČEK ALEŠ</v>
      </c>
      <c r="X76" s="285" t="str">
        <f>PROPER(IF($D$69="","",VLOOKUP($D$69,'[2]m glavni turnir žrebna lista'!$A$7:$R$38,4)))</f>
        <v>2</v>
      </c>
      <c r="Y76" s="281" t="str">
        <f>IF(W76="","",IF($U$68&lt;&gt;$U$69,"",IF($J$69="bb",1,IF($J$69="","0",$I$67))))</f>
        <v/>
      </c>
      <c r="Z76" s="281" t="str">
        <f>IF($W$45="","",IF($U$66&lt;&gt;$U$69,"",IF($L$67="bb",1,IF($L$67="","0",$K$64))))</f>
        <v/>
      </c>
      <c r="AA76" s="281" t="str">
        <f>IF($W$45="","",IF($U$62&lt;&gt;$U$69,"",IF($N$63="bb",1,IF($N$63="","0",$M$58))))</f>
        <v/>
      </c>
      <c r="AB76" s="281" t="str">
        <f>IF($W$45="","",IF($U$54&lt;&gt;$U$69,"",IF($P$55="bb",1,IF($P$55="","0",$O$46))))</f>
        <v/>
      </c>
      <c r="AC76" s="281" t="str">
        <f>IF($W$45="","",IF($U$38&lt;&gt;$U$69,"",IF($P$39="bb",1,IF($P$39="","0",$Q$22))))</f>
        <v/>
      </c>
      <c r="AD76" s="281"/>
      <c r="AE76" s="292">
        <f t="shared" si="3"/>
        <v>0</v>
      </c>
      <c r="AF76" s="283">
        <f>IF($C69="","",'m glavni 35+'!$C$69)</f>
        <v>0</v>
      </c>
      <c r="AG76" s="285" t="str">
        <f>UPPER(IF($D$69="","",VLOOKUP($D$69,'[2]m glavni turnir žrebna lista'!$A$7:$R$38,3)))</f>
        <v>MAČEK ALEŠ</v>
      </c>
      <c r="AH76" s="285" t="str">
        <f>PROPER(IF($D$69="","",VLOOKUP($D$69,'[2]m glavni turnir žrebna lista'!$A$7:$R$38,4)))</f>
        <v>2</v>
      </c>
      <c r="AI76" s="285" t="str">
        <f>UPPER(IF($D$69="","",VLOOKUP($D$69,'[2]m glavni turnir žrebna lista'!$A$7:$R$38,5)))</f>
        <v/>
      </c>
      <c r="AJ76" s="292">
        <f t="shared" si="4"/>
        <v>0</v>
      </c>
    </row>
    <row r="77" spans="1:36" s="330" customFormat="1" ht="9" customHeight="1">
      <c r="A77" s="331"/>
      <c r="B77" s="332"/>
      <c r="C77" s="333"/>
      <c r="D77" s="202">
        <v>6</v>
      </c>
      <c r="E77" s="334" t="str">
        <f>UPPER(IF($D77="","",VLOOKUP($D77,'[2]m glavni turnir žrebna lista'!$A$7:$R$38,3)))</f>
        <v>OMANOVIĆ ELVIN</v>
      </c>
      <c r="F77" s="202"/>
      <c r="G77" s="335">
        <f>IF($D77="","",VLOOKUP($D77,'[2]m glavni turnir žrebna lista'!$A$7:$R$38,10))</f>
        <v>0</v>
      </c>
      <c r="H77" s="335">
        <f>IF($D77="","",VLOOKUP($D77,'[2]m glavni turnir žrebna lista'!$A$7:$R$38,14))</f>
        <v>0</v>
      </c>
      <c r="I77" s="342" t="s">
        <v>7</v>
      </c>
      <c r="J77" s="343"/>
      <c r="K77" s="206"/>
      <c r="L77" s="332"/>
      <c r="M77" s="337"/>
      <c r="N77" s="338" t="s">
        <v>116</v>
      </c>
      <c r="O77" s="339"/>
      <c r="P77" s="340"/>
      <c r="Q77" s="337"/>
      <c r="U77" s="180"/>
      <c r="V77" s="355"/>
      <c r="W77" s="355"/>
      <c r="X77" s="355"/>
      <c r="Y77" s="281">
        <f>COUNTIF(Y45:Y76,"&gt;0")</f>
        <v>0</v>
      </c>
      <c r="Z77" s="281">
        <f aca="true" t="shared" si="5" ref="Z77:AE77">COUNTIF(Z45:Z76,"&gt;0")</f>
        <v>0</v>
      </c>
      <c r="AA77" s="281">
        <f t="shared" si="5"/>
        <v>0</v>
      </c>
      <c r="AB77" s="281">
        <f t="shared" si="5"/>
        <v>0</v>
      </c>
      <c r="AC77" s="281">
        <f t="shared" si="5"/>
        <v>0</v>
      </c>
      <c r="AD77" s="281"/>
      <c r="AE77" s="281">
        <f t="shared" si="5"/>
        <v>0</v>
      </c>
      <c r="AF77" s="283"/>
      <c r="AG77" s="355"/>
      <c r="AH77" s="355"/>
      <c r="AI77" s="355"/>
      <c r="AJ77" s="281">
        <f>COUNTIF(AJ45:AJ76,"&gt;0")</f>
        <v>0</v>
      </c>
    </row>
    <row r="78" spans="1:36" s="330" customFormat="1" ht="9" customHeight="1">
      <c r="A78" s="331"/>
      <c r="B78" s="332"/>
      <c r="C78" s="356"/>
      <c r="D78" s="202">
        <v>7</v>
      </c>
      <c r="E78" s="334" t="str">
        <f>UPPER(IF($D78="","",VLOOKUP($D78,'[2]m glavni turnir žrebna lista'!$A$7:$R$38,3)))</f>
        <v>SKVARČA SAMO</v>
      </c>
      <c r="F78" s="202"/>
      <c r="G78" s="335">
        <f>IF($D78="","",VLOOKUP($D78,'[2]m glavni turnir žrebna lista'!$A$7:$R$38,10))</f>
        <v>0</v>
      </c>
      <c r="H78" s="335">
        <f>IF($D78="","",VLOOKUP($D78,'[2]m glavni turnir žrebna lista'!$A$7:$R$38,14))</f>
        <v>0</v>
      </c>
      <c r="I78" s="342" t="s">
        <v>8</v>
      </c>
      <c r="J78" s="343"/>
      <c r="K78" s="206"/>
      <c r="L78" s="332"/>
      <c r="M78" s="337"/>
      <c r="N78" s="332" t="s">
        <v>119</v>
      </c>
      <c r="O78" s="206"/>
      <c r="P78" s="520" t="str">
        <f>'[2]vnos podatkov'!$B$10</f>
        <v>LUKA ZALAZNIK</v>
      </c>
      <c r="Q78" s="521"/>
      <c r="U78" s="180"/>
      <c r="V78" s="355"/>
      <c r="W78" s="355"/>
      <c r="X78" s="355"/>
      <c r="Y78" s="355"/>
      <c r="Z78" s="355"/>
      <c r="AA78" s="355"/>
      <c r="AB78" s="355"/>
      <c r="AC78" s="355"/>
      <c r="AD78" s="355"/>
      <c r="AE78" s="355"/>
      <c r="AF78" s="283"/>
      <c r="AG78" s="355"/>
      <c r="AH78" s="355"/>
      <c r="AI78" s="355"/>
      <c r="AJ78" s="355"/>
    </row>
    <row r="79" spans="1:36" s="330" customFormat="1" ht="9" customHeight="1">
      <c r="A79" s="357"/>
      <c r="B79" s="346"/>
      <c r="C79" s="358"/>
      <c r="D79" s="359">
        <v>8</v>
      </c>
      <c r="E79" s="360" t="str">
        <f>UPPER(IF($D79="","",VLOOKUP($D79,'[2]m glavni turnir žrebna lista'!$A$7:$R$38,3)))</f>
        <v>URANIČ DENIS</v>
      </c>
      <c r="F79" s="359"/>
      <c r="G79" s="361">
        <f>IF($D79="","",VLOOKUP($D79,'[2]m glavni turnir žrebna lista'!$A$7:$R$38,10))</f>
        <v>0</v>
      </c>
      <c r="H79" s="361">
        <f>IF($D79="","",VLOOKUP($D79,'[2]m glavni turnir žrebna lista'!$A$7:$R$38,14))</f>
        <v>0</v>
      </c>
      <c r="I79" s="362" t="s">
        <v>9</v>
      </c>
      <c r="J79" s="346"/>
      <c r="K79" s="345"/>
      <c r="L79" s="346"/>
      <c r="M79" s="347"/>
      <c r="N79" s="346" t="s">
        <v>120</v>
      </c>
      <c r="O79" s="345"/>
      <c r="P79" s="522" t="str">
        <f>'[2]vnos podatkov'!$E$10</f>
        <v>ANJA REGENT</v>
      </c>
      <c r="Q79" s="523"/>
      <c r="U79" s="180"/>
      <c r="V79" s="363"/>
      <c r="W79" s="363"/>
      <c r="X79" s="363"/>
      <c r="Y79" s="363"/>
      <c r="Z79" s="363"/>
      <c r="AA79" s="363"/>
      <c r="AB79" s="363"/>
      <c r="AC79" s="363"/>
      <c r="AD79" s="363"/>
      <c r="AE79" s="363"/>
      <c r="AF79" s="364"/>
      <c r="AG79" s="363"/>
      <c r="AH79" s="363"/>
      <c r="AI79" s="363"/>
      <c r="AJ79" s="363"/>
    </row>
  </sheetData>
  <mergeCells count="8">
    <mergeCell ref="A73:B73"/>
    <mergeCell ref="P78:Q78"/>
    <mergeCell ref="P79:Q79"/>
    <mergeCell ref="F3:G3"/>
    <mergeCell ref="V41:Z41"/>
    <mergeCell ref="P60:Q60"/>
    <mergeCell ref="P61:Q62"/>
    <mergeCell ref="P71:Q71"/>
  </mergeCells>
  <conditionalFormatting sqref="G39 G41 G7 G9 G11 G13 G15 G17 G19 G23 G43 G45 G47 G49 G51 G53 G21 G25 G27 G29 G31 G33 G35 G37 G55 G57 G59 G61 G63 G65 G67 G69">
    <cfRule type="expression" priority="1" dxfId="25" stopIfTrue="1">
      <formula>AND($D7&lt;9,$C7&gt;0)</formula>
    </cfRule>
  </conditionalFormatting>
  <conditionalFormatting sqref="L10 L18 L26 L34 L42 L50 L58 L66 N14 N30 N46 N62 P22 P54 J8 J12 J16 J20 J24 J28 J32 J36 J40 J44 J48 J52 J56 J60 J64 J68">
    <cfRule type="expression" priority="2" dxfId="25" stopIfTrue="1">
      <formula>I8="as"</formula>
    </cfRule>
    <cfRule type="expression" priority="3" dxfId="25" stopIfTrue="1">
      <formula>I8="bs"</formula>
    </cfRule>
  </conditionalFormatting>
  <conditionalFormatting sqref="B57 B9 B11 B13 B15 B17 B19 B67 B59 B25 B27 B29 B31 B33 B35 B65 B63 B41 B43 B45 B47 B49 B51 B61">
    <cfRule type="cellIs" priority="4" dxfId="20" operator="equal" stopIfTrue="1">
      <formula>"QA"</formula>
    </cfRule>
    <cfRule type="cellIs" priority="5" dxfId="20" operator="equal" stopIfTrue="1">
      <formula>"DA"</formula>
    </cfRule>
  </conditionalFormatting>
  <conditionalFormatting sqref="I8 I12 I16 I20 I24 I28 I32 I36 I40 I44 I48 I52 I56 I60 I64 I68 K66 K58 K50 K42 K34 K26 K18 K10 M14 M30 M46 M62 O22 O54 O39">
    <cfRule type="expression" priority="6" dxfId="31" stopIfTrue="1">
      <formula>$N$1="CU"</formula>
    </cfRule>
  </conditionalFormatting>
  <conditionalFormatting sqref="P38">
    <cfRule type="expression" priority="7" dxfId="25" stopIfTrue="1">
      <formula>O39="as"</formula>
    </cfRule>
    <cfRule type="expression" priority="8" dxfId="25" stopIfTrue="1">
      <formula>O39="bs"</formula>
    </cfRule>
  </conditionalFormatting>
  <conditionalFormatting sqref="N39 H8 H12 H16 H20 H24 H28 H32 H36 H40 H44 H48 H52 H56 H60 H64 H68 J66 J58 J50 J42 J34 J26 J18 J10 L14 L30 L46 L62 N54 N22">
    <cfRule type="expression" priority="9" dxfId="28" stopIfTrue="1">
      <formula>AND($N$1="CU",H8="Sodnik")</formula>
    </cfRule>
    <cfRule type="expression" priority="10" dxfId="27" stopIfTrue="1">
      <formula>AND($N$1="CU",H8&lt;&gt;"Sodnik",I8&lt;&gt;"")</formula>
    </cfRule>
    <cfRule type="expression" priority="11" dxfId="26" stopIfTrue="1">
      <formula>AND($N$1="CU",H8&lt;&gt;"Sodnik")</formula>
    </cfRule>
  </conditionalFormatting>
  <conditionalFormatting sqref="E7 B21 B7:C7 B23:C23 B37:C37 B39:C39 B53:C53 B55:C55 B69:C69">
    <cfRule type="expression" priority="12" dxfId="25" stopIfTrue="1">
      <formula>"IF(D7&lt;9)"</formula>
    </cfRule>
  </conditionalFormatting>
  <conditionalFormatting sqref="U52">
    <cfRule type="expression" priority="13" dxfId="24" stopIfTrue="1">
      <formula>"IF(Q63=J4)"</formula>
    </cfRule>
  </conditionalFormatting>
  <conditionalFormatting sqref="Q63">
    <cfRule type="cellIs" priority="14" dxfId="23" operator="equal" stopIfTrue="1">
      <formula>1</formula>
    </cfRule>
  </conditionalFormatting>
  <conditionalFormatting sqref="P63">
    <cfRule type="cellIs" priority="15" operator="equal" stopIfTrue="1">
      <formula>"Rang turnirja"</formula>
    </cfRule>
  </conditionalFormatting>
  <conditionalFormatting sqref="D9 D13 D15 D17 D19 D25 D27 D29 D31 D33 D35 D41 D43 D45 D47 D49 D51 D57 D59 D61 D63 D65 D67 D11">
    <cfRule type="expression" priority="16" dxfId="22" stopIfTrue="1">
      <formula>$D9&gt;0</formula>
    </cfRule>
  </conditionalFormatting>
  <conditionalFormatting sqref="D7 D21 D23 D37 D39 D53 D55 D69">
    <cfRule type="expression" priority="17" dxfId="21"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200" verticalDpi="200" orientation="portrait" paperSize="9" scale="97" r:id="rId6"/>
  <drawing r:id="rId3"/>
  <legacyDrawing r:id="rId2"/>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2]!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5122" r:id="rId5" name="Button 2">
              <controlPr defaultSize="0" print="0" autoFill="0" autoPict="0" macro="[2]!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9"/>
  <sheetViews>
    <sheetView showGridLines="0" showZeros="0" tabSelected="1" workbookViewId="0" topLeftCell="A1">
      <selection activeCell="F13" sqref="F13"/>
    </sheetView>
  </sheetViews>
  <sheetFormatPr defaultColWidth="9.140625" defaultRowHeight="15"/>
  <cols>
    <col min="1" max="1" width="3.140625" style="173" customWidth="1"/>
    <col min="2" max="2" width="3.57421875" style="173" customWidth="1"/>
    <col min="3" max="3" width="5.00390625" style="173" customWidth="1"/>
    <col min="4" max="4" width="4.28125" style="173" customWidth="1"/>
    <col min="5" max="5" width="12.7109375" style="173" customWidth="1"/>
    <col min="6" max="6" width="2.7109375" style="173" customWidth="1"/>
    <col min="7" max="7" width="7.7109375" style="173" customWidth="1"/>
    <col min="8" max="8" width="5.8515625" style="173" customWidth="1"/>
    <col min="9" max="9" width="2.7109375" style="365" customWidth="1"/>
    <col min="10" max="10" width="10.7109375" style="173" customWidth="1"/>
    <col min="11" max="11" width="2.421875" style="365" customWidth="1"/>
    <col min="12" max="12" width="10.7109375" style="173" customWidth="1"/>
    <col min="13" max="13" width="1.7109375" style="366" customWidth="1"/>
    <col min="14" max="14" width="10.7109375" style="173" customWidth="1"/>
    <col min="15" max="15" width="1.7109375" style="365" customWidth="1"/>
    <col min="16" max="16" width="10.7109375" style="173" customWidth="1"/>
    <col min="17" max="17" width="3.421875" style="366" customWidth="1"/>
    <col min="18" max="18" width="7.8515625" style="173" customWidth="1"/>
    <col min="19" max="19" width="0.71875" style="173" hidden="1" customWidth="1"/>
    <col min="20" max="20" width="4.7109375" style="173" hidden="1" customWidth="1"/>
    <col min="21" max="21" width="7.7109375" style="167" customWidth="1"/>
    <col min="22" max="22" width="4.140625" style="367" customWidth="1"/>
    <col min="23" max="30" width="9.140625" style="367" customWidth="1"/>
    <col min="31" max="31" width="9.8515625" style="367" customWidth="1"/>
    <col min="32" max="32" width="9.140625" style="368" customWidth="1"/>
    <col min="33" max="33" width="14.57421875" style="367" customWidth="1"/>
    <col min="34" max="34" width="10.8515625" style="367" customWidth="1"/>
    <col min="35" max="35" width="9.140625" style="367" customWidth="1"/>
    <col min="36" max="36" width="9.57421875" style="367" customWidth="1"/>
    <col min="37" max="16384" width="9.140625" style="173" customWidth="1"/>
  </cols>
  <sheetData>
    <row r="1" spans="1:36" s="153" customFormat="1" ht="21.75" customHeight="1">
      <c r="A1" s="146" t="str">
        <f>'[3]vnos podatkov'!$A$6</f>
        <v>RVO DRŽAVNO PRVENSTVO</v>
      </c>
      <c r="B1" s="147"/>
      <c r="C1" s="148"/>
      <c r="D1" s="148"/>
      <c r="E1" s="148"/>
      <c r="F1" s="148"/>
      <c r="G1" s="148"/>
      <c r="H1" s="146"/>
      <c r="I1" s="149"/>
      <c r="J1" s="150" t="s">
        <v>63</v>
      </c>
      <c r="K1" s="151"/>
      <c r="L1" s="152"/>
      <c r="M1" s="149"/>
      <c r="N1" s="149" t="s">
        <v>0</v>
      </c>
      <c r="O1" s="149"/>
      <c r="P1" s="148"/>
      <c r="Q1" s="149"/>
      <c r="U1" s="154"/>
      <c r="V1" s="155" t="str">
        <f>'[3]vnos podatkov'!$A$6</f>
        <v>RVO DRŽAVNO PRVENSTVO</v>
      </c>
      <c r="W1" s="156"/>
      <c r="X1" s="156"/>
      <c r="Y1" s="156"/>
      <c r="Z1" s="156"/>
      <c r="AA1" s="156"/>
      <c r="AB1" s="156"/>
      <c r="AC1" s="156"/>
      <c r="AD1" s="156"/>
      <c r="AE1" s="156"/>
      <c r="AF1" s="157"/>
      <c r="AG1" s="156"/>
      <c r="AH1" s="156"/>
      <c r="AI1" s="156"/>
      <c r="AJ1" s="156"/>
    </row>
    <row r="2" spans="1:36" ht="15">
      <c r="A2" s="158">
        <f>'[3]vnos podatkov'!$A$8</f>
        <v>0</v>
      </c>
      <c r="B2" s="159">
        <f>'[3]vnos podatkov'!$B$8</f>
        <v>0</v>
      </c>
      <c r="C2" s="160">
        <f>'[3]vnos podatkov'!$C$8</f>
        <v>0</v>
      </c>
      <c r="D2" s="159"/>
      <c r="E2" s="159"/>
      <c r="F2" s="161"/>
      <c r="G2" s="162"/>
      <c r="H2" s="162"/>
      <c r="I2" s="163"/>
      <c r="J2" s="164" t="s">
        <v>64</v>
      </c>
      <c r="K2" s="151"/>
      <c r="L2" s="165"/>
      <c r="M2" s="163"/>
      <c r="N2" s="162"/>
      <c r="O2" s="163"/>
      <c r="P2" s="162"/>
      <c r="Q2" s="163"/>
      <c r="R2" s="166"/>
      <c r="S2" s="166"/>
      <c r="T2" s="166"/>
      <c r="V2" s="168">
        <f>'[3]vnos podatkov'!$A$8</f>
        <v>0</v>
      </c>
      <c r="W2" s="169">
        <f>'[3]vnos podatkov'!$B$8</f>
        <v>0</v>
      </c>
      <c r="X2" s="169">
        <f>'[3]vnos podatkov'!$C$8</f>
        <v>0</v>
      </c>
      <c r="Y2" s="170">
        <f>'[3]vnos podatkov'!$A$10</f>
        <v>0</v>
      </c>
      <c r="Z2" s="171"/>
      <c r="AA2" s="171"/>
      <c r="AB2" s="171"/>
      <c r="AC2" s="171"/>
      <c r="AD2" s="171"/>
      <c r="AE2" s="171"/>
      <c r="AF2" s="172"/>
      <c r="AG2" s="171"/>
      <c r="AH2" s="171"/>
      <c r="AI2" s="171"/>
      <c r="AJ2" s="171"/>
    </row>
    <row r="3" spans="1:36" s="179" customFormat="1" ht="11.25" customHeight="1">
      <c r="A3" s="174" t="s">
        <v>1</v>
      </c>
      <c r="B3" s="174"/>
      <c r="C3" s="174"/>
      <c r="D3" s="175" t="s">
        <v>65</v>
      </c>
      <c r="E3" s="174"/>
      <c r="F3" s="524" t="s">
        <v>66</v>
      </c>
      <c r="G3" s="524"/>
      <c r="H3" s="174"/>
      <c r="I3" s="176"/>
      <c r="J3" s="177" t="s">
        <v>67</v>
      </c>
      <c r="K3" s="176"/>
      <c r="L3" s="174" t="s">
        <v>68</v>
      </c>
      <c r="M3" s="176"/>
      <c r="N3" s="177" t="s">
        <v>69</v>
      </c>
      <c r="O3" s="176"/>
      <c r="P3" s="174"/>
      <c r="Q3" s="178" t="s">
        <v>70</v>
      </c>
      <c r="U3" s="180"/>
      <c r="V3" s="181" t="s">
        <v>71</v>
      </c>
      <c r="W3" s="182"/>
      <c r="X3" s="182"/>
      <c r="Y3" s="183"/>
      <c r="Z3" s="184"/>
      <c r="AA3" s="184"/>
      <c r="AB3" s="184"/>
      <c r="AC3" s="184"/>
      <c r="AD3" s="184"/>
      <c r="AE3" s="185"/>
      <c r="AF3" s="186"/>
      <c r="AG3" s="187"/>
      <c r="AH3" s="187"/>
      <c r="AI3" s="187"/>
      <c r="AJ3" s="187"/>
    </row>
    <row r="4" spans="1:36" s="196" customFormat="1" ht="11.25" customHeight="1" thickBot="1">
      <c r="A4" s="188">
        <f>'[3]vnos podatkov'!$D$8</f>
        <v>0</v>
      </c>
      <c r="B4" s="188"/>
      <c r="C4" s="188"/>
      <c r="D4" s="188">
        <f>'[3]vnos podatkov'!$A$10</f>
        <v>0</v>
      </c>
      <c r="E4" s="189"/>
      <c r="F4" s="190">
        <f>'[3]vnos podatkov'!$C$10</f>
        <v>0</v>
      </c>
      <c r="G4" s="190"/>
      <c r="H4" s="190"/>
      <c r="I4" s="191"/>
      <c r="J4" s="192">
        <f>'[3]vnos podatkov'!$D$10</f>
        <v>0</v>
      </c>
      <c r="K4" s="191"/>
      <c r="L4" s="193" t="str">
        <f>'[3]vnos podatkov'!$B$10</f>
        <v>LUKA ZALAZNIK</v>
      </c>
      <c r="M4" s="191"/>
      <c r="N4" s="194">
        <f>COUNTIF(C7:C69,"&gt;0")</f>
        <v>0</v>
      </c>
      <c r="O4" s="191"/>
      <c r="P4" s="189"/>
      <c r="Q4" s="195" t="str">
        <f>'[3]vnos podatkov'!$E$10</f>
        <v>ANJA REGENT</v>
      </c>
      <c r="U4" s="197"/>
      <c r="V4" s="198"/>
      <c r="W4" s="198"/>
      <c r="X4" s="198"/>
      <c r="Y4" s="199"/>
      <c r="Z4" s="199"/>
      <c r="AA4" s="199"/>
      <c r="AB4" s="199"/>
      <c r="AC4" s="199"/>
      <c r="AD4" s="199"/>
      <c r="AE4" s="199"/>
      <c r="AF4" s="200"/>
      <c r="AG4" s="198"/>
      <c r="AH4" s="198"/>
      <c r="AI4" s="198"/>
      <c r="AJ4" s="198"/>
    </row>
    <row r="5" spans="1:36" s="179" customFormat="1" ht="15">
      <c r="A5" s="201"/>
      <c r="B5" s="202" t="s">
        <v>72</v>
      </c>
      <c r="C5" s="202" t="s">
        <v>73</v>
      </c>
      <c r="D5" s="202" t="s">
        <v>74</v>
      </c>
      <c r="E5" s="203" t="s">
        <v>75</v>
      </c>
      <c r="F5" s="203" t="s">
        <v>76</v>
      </c>
      <c r="G5" s="203"/>
      <c r="H5" s="203" t="s">
        <v>66</v>
      </c>
      <c r="I5" s="204"/>
      <c r="J5" s="202" t="s">
        <v>77</v>
      </c>
      <c r="K5" s="205"/>
      <c r="L5" s="202" t="s">
        <v>78</v>
      </c>
      <c r="M5" s="205"/>
      <c r="N5" s="202" t="s">
        <v>79</v>
      </c>
      <c r="O5" s="205"/>
      <c r="P5" s="202" t="s">
        <v>80</v>
      </c>
      <c r="Q5" s="206"/>
      <c r="U5" s="180" t="s">
        <v>73</v>
      </c>
      <c r="V5" s="207" t="s">
        <v>81</v>
      </c>
      <c r="W5" s="208" t="s">
        <v>75</v>
      </c>
      <c r="X5" s="208" t="s">
        <v>76</v>
      </c>
      <c r="Y5" s="209" t="s">
        <v>82</v>
      </c>
      <c r="Z5" s="209" t="s">
        <v>83</v>
      </c>
      <c r="AA5" s="209" t="s">
        <v>78</v>
      </c>
      <c r="AB5" s="209" t="s">
        <v>79</v>
      </c>
      <c r="AC5" s="209" t="s">
        <v>84</v>
      </c>
      <c r="AD5" s="209" t="s">
        <v>85</v>
      </c>
      <c r="AE5" s="210" t="s">
        <v>86</v>
      </c>
      <c r="AF5" s="186"/>
      <c r="AG5" s="187"/>
      <c r="AH5" s="187"/>
      <c r="AI5" s="187"/>
      <c r="AJ5" s="187"/>
    </row>
    <row r="6" spans="1:36" s="179" customFormat="1" ht="3.75" customHeight="1" thickBot="1">
      <c r="A6" s="211"/>
      <c r="B6" s="212"/>
      <c r="C6" s="213"/>
      <c r="D6" s="212"/>
      <c r="E6" s="214"/>
      <c r="F6" s="215"/>
      <c r="G6" s="216"/>
      <c r="H6" s="214"/>
      <c r="I6" s="217"/>
      <c r="J6" s="212"/>
      <c r="K6" s="217"/>
      <c r="L6" s="212"/>
      <c r="M6" s="217"/>
      <c r="N6" s="212"/>
      <c r="O6" s="217"/>
      <c r="P6" s="212"/>
      <c r="Q6" s="218"/>
      <c r="U6" s="180"/>
      <c r="V6" s="219"/>
      <c r="W6" s="220"/>
      <c r="X6" s="220"/>
      <c r="Y6" s="221"/>
      <c r="Z6" s="221"/>
      <c r="AA6" s="221"/>
      <c r="AB6" s="221"/>
      <c r="AC6" s="221"/>
      <c r="AD6" s="221"/>
      <c r="AE6" s="222"/>
      <c r="AF6" s="186"/>
      <c r="AG6" s="187"/>
      <c r="AH6" s="187"/>
      <c r="AI6" s="187"/>
      <c r="AJ6" s="187"/>
    </row>
    <row r="7" spans="1:36" s="234" customFormat="1" ht="10.5" customHeight="1">
      <c r="A7" s="223">
        <v>1</v>
      </c>
      <c r="B7" s="224">
        <f>IF($D7="","",VLOOKUP($D7,'[3]m glavni turnir žrebna lista'!$A$7:$R$38,17))</f>
        <v>0</v>
      </c>
      <c r="C7" s="224">
        <f>IF($D7="","",VLOOKUP($D7,'[3]m glavni turnir žrebna lista'!$A$7:$R$38,2))</f>
        <v>0</v>
      </c>
      <c r="D7" s="225">
        <v>1</v>
      </c>
      <c r="E7" s="224" t="str">
        <f>UPPER(IF($D7="","",VLOOKUP($D7,'[3]m glavni turnir žrebna lista'!$A$7:$R$38,3)))</f>
        <v>KOMAR TONE</v>
      </c>
      <c r="F7" s="224" t="str">
        <f>PROPER(IF($D7="","",VLOOKUP($D7,'[3]m glavni turnir žrebna lista'!$A$7:$R$38,4)))</f>
        <v>1</v>
      </c>
      <c r="G7" s="224"/>
      <c r="H7" s="224">
        <f>IF($D7="","",VLOOKUP($D7,'[3]m glavni turnir žrebna lista'!$A$7:$R$38,5))</f>
        <v>0</v>
      </c>
      <c r="I7" s="226">
        <f>IF($D7="","",VLOOKUP($D7,'[3]m glavni turnir žrebna lista'!$A$7:$R$38,14))</f>
        <v>0</v>
      </c>
      <c r="J7" s="227"/>
      <c r="K7" s="228"/>
      <c r="L7" s="227"/>
      <c r="M7" s="228"/>
      <c r="N7" s="229"/>
      <c r="O7" s="230"/>
      <c r="P7" s="231"/>
      <c r="Q7" s="232"/>
      <c r="R7" s="233"/>
      <c r="T7" s="235" t="str">
        <f>'[3]glavni sodniki'!P21</f>
        <v>Sodnik</v>
      </c>
      <c r="U7" s="180">
        <f>IF($D7="","",VLOOKUP($D7,'[3]m glavni turnir žrebna lista'!$A$7:$R$38,2))</f>
        <v>0</v>
      </c>
      <c r="V7" s="208">
        <v>1</v>
      </c>
      <c r="W7" s="208" t="str">
        <f>UPPER(IF($D7="","",VLOOKUP($D7,'[3]m glavni turnir žrebna lista'!$A$7:$R$38,3)))</f>
        <v>KOMAR TONE</v>
      </c>
      <c r="X7" s="208" t="str">
        <f>PROPER(IF($D7="","",VLOOKUP($D7,'[3]m glavni turnir žrebna lista'!$A$7:$R$38,4)))</f>
        <v>1</v>
      </c>
      <c r="Y7" s="236" t="str">
        <f aca="true" t="shared" si="0" ref="Y7:Y38">IF(W7="","",IF($Q$63=1,30,IF($Q$63=2,15,IF($Q$63=3,10,""))))</f>
        <v/>
      </c>
      <c r="Z7" s="209" t="str">
        <f>IF(Y7="","",IF(AND($Q$63=1,$U$8=$U$7),30,IF(AND($Q$63=2,$U$8=$U$7),15,IF(AND($Q$63=3,$U$8=$U$7),10,""))))</f>
        <v/>
      </c>
      <c r="AA7" s="209" t="str">
        <f>IF(Z7="","",IF(AND($Q$63=1,$U$8=$U$10,$U$10=$U$7),60,IF(AND($Q$63=2,$U$8=$U$10,$U$10=$U$7),30,IF(AND($Q$63=3,$U$8=$U$10,$U$10=$U$7),20,""))))</f>
        <v/>
      </c>
      <c r="AB7" s="209" t="str">
        <f>IF(AA7="","",IF(AND($Q$63=1,$U$8=$U$10,$U$10=$U$7,$U$10=$U$14),120,IF(AND($Q$63=2,$U$8=$U$10,$U$10=$U$7,$U$10=$U$14),60,IF(AND($Q$63=3,$U$8=$U$10,$U$10=$U$7,$U$10=$U$14),40,""))))</f>
        <v/>
      </c>
      <c r="AC7" s="209" t="str">
        <f>IF(AB7="","",IF(AND($Q$63=1,$U$8=$U$10,$U$10=$U$7,$U$10=$U$14,$U$22=$U$14),120,IF(AND($Q$63=2,$U$8=$U$10,$U$10=$U$7,$U$10=$U$14,$U$22=$U$14),60,IF(AND($Q$63=3,$U$8=$U$10,$U$10=$U$7,$U$10=$U$14,$U$22=$U$14),40,""))))</f>
        <v/>
      </c>
      <c r="AD7" s="209" t="str">
        <f>IF(AC7="","",IF(AND($Q$63=1,$U$8=$U$10,$U$10=$U$7,$U$10=$U$14,$U$22=$U$14,$U$38=$U$22),120,IF(AND($Q$63=2,$U$8=$U$10,$U$10=$U$7,$U$10=$U$14,$U$22=$U$14,$U$38=$U$22),60,IF(AND($Q$63=3,$U$8=$U$10,$U$10=$U$7,$U$10=$U$14,$U$22=$U$14,$U$38=$U$22),40,""))))</f>
        <v/>
      </c>
      <c r="AE7" s="237">
        <f>IF($C$2="B turnir",SUM(Y7:AD7)*0.1,SUM(Y7:AD7))</f>
        <v>0</v>
      </c>
      <c r="AF7" s="186"/>
      <c r="AG7" s="238"/>
      <c r="AH7" s="238"/>
      <c r="AI7" s="238"/>
      <c r="AJ7" s="238"/>
    </row>
    <row r="8" spans="1:36" s="234" customFormat="1" ht="9.6" customHeight="1">
      <c r="A8" s="239"/>
      <c r="B8" s="240"/>
      <c r="C8" s="240"/>
      <c r="D8" s="240"/>
      <c r="E8" s="241"/>
      <c r="F8" s="241"/>
      <c r="G8" s="242"/>
      <c r="H8" s="243" t="s">
        <v>87</v>
      </c>
      <c r="I8" s="244" t="s">
        <v>88</v>
      </c>
      <c r="J8" s="245" t="str">
        <f>UPPER(IF(OR(I8="a",I8="as"),E7,IF(OR(I8="b",I8="bs"),E9,)))</f>
        <v>KOMAR TONE</v>
      </c>
      <c r="K8" s="246">
        <f>IF(OR(I8="a",I8="as"),I7,IF(OR(I8="b",I8="bs"),I9,))</f>
        <v>0</v>
      </c>
      <c r="L8" s="227"/>
      <c r="M8" s="228"/>
      <c r="N8" s="229"/>
      <c r="O8" s="230"/>
      <c r="P8" s="231"/>
      <c r="Q8" s="232"/>
      <c r="R8" s="233"/>
      <c r="T8" s="247" t="str">
        <f>'[3]glavni sodniki'!P22</f>
        <v xml:space="preserve"> </v>
      </c>
      <c r="U8" s="180">
        <f>IF(OR(I8="a",I8="as"),C7,IF(OR(I8="b",I8="bs"),C9,""))</f>
        <v>0</v>
      </c>
      <c r="V8" s="208">
        <v>2</v>
      </c>
      <c r="W8" s="248" t="str">
        <f>UPPER(IF($D9="","",VLOOKUP($D9,'[3]m glavni turnir žrebna lista'!$A$7:$R$38,3)))</f>
        <v/>
      </c>
      <c r="X8" s="248" t="str">
        <f>PROPER(IF($D9="","",VLOOKUP($D9,'[3]m glavni turnir žrebna lista'!$A$7:$R$38,4)))</f>
        <v/>
      </c>
      <c r="Y8" s="249" t="str">
        <f t="shared" si="0"/>
        <v/>
      </c>
      <c r="Z8" s="249" t="str">
        <f>IF(Y8="","",IF(AND($Q$63=1,U9=$U$8),30,IF(AND($Q$63=2,U9=$U$8),15,IF(AND($Q$63=3,U9=$U$8),10,""))))</f>
        <v/>
      </c>
      <c r="AA8" s="249" t="str">
        <f>IF(Z8="","",IF(AND($Q$63=1,U9=$U$10,$U$10=$U$8),60,IF(AND($Q$63=2,U9=$U$10,$U$10=$U$8),30,IF(AND($Q$63=3,U9=$U$10,$U$10=$U$8),20,""))))</f>
        <v/>
      </c>
      <c r="AB8" s="249" t="str">
        <f>IF(AA8="","",IF(AND($Q$63=1,$U$8=U9,$U$8=$U$10,$U$10=$U$14),120,IF(AND($Q$63=2,$U$8=U9,$U$8=$U$10,$U$10=$U$14),60,IF(AND($Q$63=3,$U$8=U9,$U$8=$U$10,$U$10=$U$14),40,""))))</f>
        <v/>
      </c>
      <c r="AC8" s="249" t="str">
        <f>IF(AB8="","",IF(AND($Q$63=1,$U$8=$U$10,$U$10=$U$9,$U$10=$U$14,$U$22=$U$14),120,IF(AND($Q$63=2,$U$8=$U$10,$U$10=$U$9,$U$10=$U$14,$U$22=$U$14),60,IF(AND($Q$63=3,$U$8=$U$10,$U$10=$U$9,$U$10=$U$14,$U$22=$U$14),40,""))))</f>
        <v/>
      </c>
      <c r="AD8" s="249" t="str">
        <f>IF(AC8="","",IF(AND($Q$63=1,$U$8=$U$10,$U$10=$U$9,$U$10=$U$14,$U$22=$U$14,$U$38=$U$22),120,IF(AND($Q$63=2,$U$8=$U$10,$U$10=$U$9,$U$10=$U$14,$U$22=$U$14,$U$38=$U$22),60,IF(AND($Q$63=3,$U$8=$U$10,$U$10=$U$9,$U$10=$U$14,$U$22=$U$14,$U$38=$U$22),40,""))))</f>
        <v/>
      </c>
      <c r="AE8" s="250">
        <f aca="true" t="shared" si="1" ref="AE8:AE38">IF($C$2="B turnir",SUM(Y8:AD8)*0.1,SUM(Y8:AD8))</f>
        <v>0</v>
      </c>
      <c r="AF8" s="186"/>
      <c r="AG8" s="238"/>
      <c r="AH8" s="238"/>
      <c r="AI8" s="238"/>
      <c r="AJ8" s="238"/>
    </row>
    <row r="9" spans="1:36" s="234" customFormat="1" ht="9.6" customHeight="1">
      <c r="A9" s="239">
        <v>2</v>
      </c>
      <c r="B9" s="251" t="str">
        <f>IF($D9="","",VLOOKUP($D9,'[3]m glavni turnir žrebna lista'!$A$7:$R$38,17))</f>
        <v/>
      </c>
      <c r="C9" s="251" t="str">
        <f>IF($D9="","",VLOOKUP($D9,'[3]m glavni turnir žrebna lista'!$A$7:$R$38,2))</f>
        <v/>
      </c>
      <c r="D9" s="225"/>
      <c r="E9" s="252" t="s">
        <v>3</v>
      </c>
      <c r="F9" s="252" t="str">
        <f>PROPER(IF($D9="","",VLOOKUP($D9,'[3]m glavni turnir žrebna lista'!$A$7:$R$38,4)))</f>
        <v/>
      </c>
      <c r="G9" s="252"/>
      <c r="H9" s="252" t="str">
        <f>IF($D9="","",VLOOKUP($D9,'[3]m glavni turnir žrebna lista'!$A$7:$R$38,5))</f>
        <v/>
      </c>
      <c r="I9" s="253" t="str">
        <f>IF($D9="","",VLOOKUP($D9,'[3]m glavni turnir žrebna lista'!$A$7:$R$38,14))</f>
        <v/>
      </c>
      <c r="J9" s="254"/>
      <c r="K9" s="255"/>
      <c r="L9" s="227"/>
      <c r="M9" s="228"/>
      <c r="N9" s="229"/>
      <c r="O9" s="230"/>
      <c r="P9" s="231"/>
      <c r="Q9" s="232"/>
      <c r="R9" s="233"/>
      <c r="T9" s="247" t="str">
        <f>'[3]glavni sodniki'!P23</f>
        <v xml:space="preserve"> </v>
      </c>
      <c r="U9" s="180" t="str">
        <f>IF($D9="","",VLOOKUP($D9,'[3]m glavni turnir žrebna lista'!$A$7:$R$38,2))</f>
        <v/>
      </c>
      <c r="V9" s="208">
        <v>3</v>
      </c>
      <c r="W9" s="208" t="str">
        <f>UPPER(IF($D11="","",VLOOKUP($D11,'[3]m glavni turnir žrebna lista'!$A$7:$R$38,3)))</f>
        <v>ŠKORJANC GREGA</v>
      </c>
      <c r="X9" s="208" t="str">
        <f>PROPER(IF($D11="","",VLOOKUP($D11,'[3]m glavni turnir žrebna lista'!$A$7:$R$38,4)))</f>
        <v/>
      </c>
      <c r="Y9" s="209" t="str">
        <f t="shared" si="0"/>
        <v/>
      </c>
      <c r="Z9" s="209" t="str">
        <f>IF(Y9="","",IF(AND($Q$63=1,U11=U12),30,IF(AND($Q$63=2,U11=U12),15,IF(AND($Q$63=3,U11=U12),10,""))))</f>
        <v/>
      </c>
      <c r="AA9" s="209" t="str">
        <f>IF(Z9="","",IF(AND($Q$63=1,$U$10=U11,U11=U12),60,IF(AND($Q$63=2,$U$10=U11,U11=U12),30,IF(AND($Q$63=3,$U$10=U11,U11=U12),20,""))))</f>
        <v/>
      </c>
      <c r="AB9" s="209" t="str">
        <f>IF(AA9="","",IF(AND($Q$63=1,$U$14=$U$10,$U$10=U12,U11=U12),120,IF(AND($Q$63=2,$U$10=$U$14,$U$10=U12,U12=U11),60,IF(AND($Q$63=3,$U$10=$U$14,$U$10=U12,U12=U11),40,""))))</f>
        <v/>
      </c>
      <c r="AC9" s="209" t="str">
        <f>IF(AB9="","",IF(AND($Q$63=1,$U$11=$U$12,$U$10=$U$12,$U$10=$U$14,$U$22=$U$14),120,IF(AND($Q$63=2,$U$11=$U$12,$U$12=$U$10,$U$10=$U$14,$U$22=$U$14),60,IF(AND($Q$63=3,$U$11=$U$12,$U$12=$U$10,$U$10=$U$14,$U$22=$U$14),40,""))))</f>
        <v/>
      </c>
      <c r="AD9" s="209" t="str">
        <f>IF(AC9="","",IF(AND($Q$63=1,$U$11=$U$12,$U$10=$U$12,$U$10=$U$14,$U$22=$U$14,$U$38=$U$22),120,IF(AND($Q$63=2,$U$11=$U$12,$U$12=$U$10,$U$10=$U$14,$U$22=$U$14,$U$38=$U$22),60,IF(AND($Q$63=3,$U$11=$U$12,$U$12=$U$10,$U$10=$U$14,$U$22=$U$14,$U$38=$U$22),40,""))))</f>
        <v/>
      </c>
      <c r="AE9" s="237">
        <f t="shared" si="1"/>
        <v>0</v>
      </c>
      <c r="AF9" s="186"/>
      <c r="AG9" s="238"/>
      <c r="AH9" s="238"/>
      <c r="AI9" s="238"/>
      <c r="AJ9" s="238"/>
    </row>
    <row r="10" spans="1:36" s="234" customFormat="1" ht="9.6" customHeight="1">
      <c r="A10" s="239"/>
      <c r="B10" s="240"/>
      <c r="C10" s="240"/>
      <c r="D10" s="256"/>
      <c r="E10" s="241"/>
      <c r="F10" s="241"/>
      <c r="G10" s="242"/>
      <c r="H10" s="241"/>
      <c r="I10" s="257"/>
      <c r="J10" s="243" t="s">
        <v>87</v>
      </c>
      <c r="K10" s="258"/>
      <c r="L10" s="259" t="str">
        <f>UPPER(IF(OR(K10="a",K10="as"),J8,IF(OR(K10="b",K10="bs"),J12,)))</f>
        <v/>
      </c>
      <c r="M10" s="260">
        <f>IF(OR(K10="a",K10="as"),K8,IF(OR(K10="b",K10="bs"),K12,))</f>
        <v>0</v>
      </c>
      <c r="N10" s="261"/>
      <c r="O10" s="262"/>
      <c r="P10" s="231"/>
      <c r="Q10" s="232"/>
      <c r="R10" s="233"/>
      <c r="T10" s="247" t="str">
        <f>'[3]glavni sodniki'!P24</f>
        <v xml:space="preserve"> </v>
      </c>
      <c r="U10" s="180" t="str">
        <f>IF(OR(K10="a",K10="as"),$U$8,IF(OR(K10="b",K10="bs"),U12,""))</f>
        <v/>
      </c>
      <c r="V10" s="208">
        <v>4</v>
      </c>
      <c r="W10" s="263" t="str">
        <f>UPPER(IF($D13="","",VLOOKUP($D13,'[3]m glavni turnir žrebna lista'!$A$7:$R$38,3)))</f>
        <v/>
      </c>
      <c r="X10" s="263" t="str">
        <f>PROPER(IF($D13="","",VLOOKUP($D13,'[3]m glavni turnir žrebna lista'!$A$7:$R$38,4)))</f>
        <v/>
      </c>
      <c r="Y10" s="249" t="str">
        <f t="shared" si="0"/>
        <v/>
      </c>
      <c r="Z10" s="249" t="str">
        <f>IF(Y10="","",IF(AND($Q$63=1,U12=U13),30,IF(AND($Q$63=2,U12=U13),15,IF(AND($Q$63=3,U12=U13),10,""))))</f>
        <v/>
      </c>
      <c r="AA10" s="249" t="str">
        <f>IF(Z10="","",IF(AND($Q$63=1,$U$10=U12,U12=U13),60,IF(AND($Q$63=2,$U$10=U12,U12=U13),30,IF(AND($Q$63=3,$U$10=U12,U12=U13),20,""))))</f>
        <v/>
      </c>
      <c r="AB10" s="249" t="str">
        <f>IF(AA10="","",IF(AND($Q$63=1,$U$14=$U$10,$U$10=U12,U12=U13),120,IF(AND($Q$63=2,$U$14=$U$10,$U$10=U12,U13=U12),60,IF(AND($Q$63=3,$U$14=$U$10,$U$10=U12,U13=U12),40,""))))</f>
        <v/>
      </c>
      <c r="AC10" s="249" t="str">
        <f>IF(AB10="","",IF(AND($Q$63=1,$U$13=$U$12,$U$10=$U$12,$U$10=$U$14,$U$22=$U$14),120,IF(AND($Q$63=2,$U$13=$U$12,$U$12=$U$10,$U$10=$U$14,$U$22=$U$14),60,IF(AND($Q$63=3,$U$13=$U$12,$U$12=$U$10,$U$10=$U$14,$U$22=$U$14),40,""))))</f>
        <v/>
      </c>
      <c r="AD10" s="249" t="str">
        <f>IF(AC10="","",IF(AND($Q$63=1,$U$13=$U$12,$U$10=$U$12,$U$10=$U$14,$U$22=$U$14,$U$38=$U$22),120,IF(AND($Q$63=2,$U$13=$U$12,$U$12=$U$10,$U$10=$U$14,$U$22=$U$14,$U$38=$U$22),60,IF(AND($Q$63=3,$U$13=$U$12,$U$12=$U$10,$U$10=$U$14,$U$22=$U$14,$U$38=$U$22),40,""))))</f>
        <v/>
      </c>
      <c r="AE10" s="250">
        <f t="shared" si="1"/>
        <v>0</v>
      </c>
      <c r="AF10" s="186"/>
      <c r="AG10" s="238"/>
      <c r="AH10" s="238"/>
      <c r="AI10" s="238"/>
      <c r="AJ10" s="238"/>
    </row>
    <row r="11" spans="1:36" s="234" customFormat="1" ht="9.6" customHeight="1">
      <c r="A11" s="239">
        <v>3</v>
      </c>
      <c r="B11" s="251">
        <f>IF($D11="","",VLOOKUP($D11,'[3]m glavni turnir žrebna lista'!$A$7:$R$38,17))</f>
        <v>0</v>
      </c>
      <c r="C11" s="251">
        <f>IF($D11="","",VLOOKUP($D11,'[3]m glavni turnir žrebna lista'!$A$7:$R$38,2))</f>
        <v>0</v>
      </c>
      <c r="D11" s="225">
        <v>19</v>
      </c>
      <c r="E11" s="252" t="str">
        <f>UPPER(IF($D11="","",VLOOKUP($D11,'[3]m glavni turnir žrebna lista'!$A$7:$R$38,3)))</f>
        <v>ŠKORJANC GREGA</v>
      </c>
      <c r="F11" s="252" t="str">
        <f>PROPER(IF($D11="","",VLOOKUP($D11,'[3]m glavni turnir žrebna lista'!$A$7:$R$38,4)))</f>
        <v/>
      </c>
      <c r="G11" s="252"/>
      <c r="H11" s="252">
        <f>IF($D11="","",VLOOKUP($D11,'[3]m glavni turnir žrebna lista'!$A$7:$R$38,5))</f>
        <v>0</v>
      </c>
      <c r="I11" s="226">
        <f>IF($D11="","",VLOOKUP($D11,'[3]m glavni turnir žrebna lista'!$A$7:$R$38,14))</f>
        <v>0</v>
      </c>
      <c r="J11" s="227"/>
      <c r="K11" s="264"/>
      <c r="L11" s="254"/>
      <c r="M11" s="265"/>
      <c r="N11" s="261"/>
      <c r="O11" s="262"/>
      <c r="P11" s="231"/>
      <c r="Q11" s="232"/>
      <c r="R11" s="233"/>
      <c r="T11" s="247" t="str">
        <f>'[3]glavni sodniki'!P25</f>
        <v xml:space="preserve"> </v>
      </c>
      <c r="U11" s="180">
        <f>IF($D11="","",VLOOKUP($D11,'[3]m glavni turnir žrebna lista'!$A$7:$R$38,2))</f>
        <v>0</v>
      </c>
      <c r="V11" s="208">
        <v>5</v>
      </c>
      <c r="W11" s="208" t="str">
        <f>UPPER(IF($D15="","",VLOOKUP($D15,'[3]m glavni turnir žrebna lista'!$A$7:$R$38,3)))</f>
        <v>KVAS MIHA</v>
      </c>
      <c r="X11" s="208" t="str">
        <f>PROPER(IF($D15="","",VLOOKUP($D15,'[3]m glavni turnir žrebna lista'!$A$7:$R$38,4)))</f>
        <v/>
      </c>
      <c r="Y11" s="209" t="str">
        <f t="shared" si="0"/>
        <v/>
      </c>
      <c r="Z11" s="209" t="str">
        <f>IF(Y11="","",IF(AND($Q$63=1,U15=U16),30,IF(AND($Q$63=2,U15=U16),15,IF(AND($Q$63=3,U15=U16),10,""))))</f>
        <v/>
      </c>
      <c r="AA11" s="209" t="str">
        <f>IF(Z11="","",IF(AND($Q$63=1,U15=U16,U16=U18),60,IF(AND($Q$63=2,U15=U16,U16=U18),30,IF(AND($Q$63=3,U15=U16,U16=U18),20,""))))</f>
        <v/>
      </c>
      <c r="AB11" s="209" t="str">
        <f>IF(AA11="","",IF(AND($Q$63=1,U15=$U$14,U15=U16,U16=U18),120,IF(AND($Q$63=2,U15=$U$14,U15=U16,U16=U18),60,IF(AND($Q$63=3,U15=$U$14,U15=U16,U16=U18),40,""))))</f>
        <v/>
      </c>
      <c r="AC11" s="209" t="str">
        <f>IF(AB11="","",IF(AND($Q$63=1,$U$15=$U$16,$U$16=$U$18,$U$18=$U$14,$U$22=$U$14),120,IF(AND($Q$63=2,$U$15=$U$16,$U$16=$U$18,$U$18=$U$14,$U$22=$U$14),60,IF(AND($Q$63=3,$U$15=$U$16,$U$16=$U$18,$U$18=$U$14,$U$22=$U$14),40,""))))</f>
        <v/>
      </c>
      <c r="AD11" s="209" t="str">
        <f>IF(AC11="","",IF(AND($Q$63=1,$U$15=$U$16,$U$16=$U$18,$U$18=$U$14,$U$22=$U$14,$U$38=$U$22),120,IF(AND($Q$63=2,$U$15=$U$16,$U$16=$U$18,$U$18=$U$14,$U$22=$U$14,$U$38=$U$22),60,IF(AND($Q$63=3,$U$15=$U$16,$U$16=$U$18,$U$18=$U$14,$U$22=$U$14,$U$38=$U$22),40,""))))</f>
        <v/>
      </c>
      <c r="AE11" s="237">
        <f t="shared" si="1"/>
        <v>0</v>
      </c>
      <c r="AF11" s="186"/>
      <c r="AG11" s="238"/>
      <c r="AH11" s="238"/>
      <c r="AI11" s="238"/>
      <c r="AJ11" s="238"/>
    </row>
    <row r="12" spans="1:36" s="234" customFormat="1" ht="9.6" customHeight="1">
      <c r="A12" s="239"/>
      <c r="B12" s="240"/>
      <c r="C12" s="240"/>
      <c r="D12" s="256"/>
      <c r="E12" s="241"/>
      <c r="F12" s="241"/>
      <c r="G12" s="242"/>
      <c r="H12" s="243" t="s">
        <v>87</v>
      </c>
      <c r="I12" s="244" t="s">
        <v>88</v>
      </c>
      <c r="J12" s="259"/>
      <c r="K12" s="266">
        <f>IF(OR(I12="a",I12="as"),I11,IF(OR(I12="b",I12="bs"),I13,))</f>
        <v>0</v>
      </c>
      <c r="L12" s="227"/>
      <c r="M12" s="265"/>
      <c r="N12" s="261"/>
      <c r="O12" s="262"/>
      <c r="P12" s="231"/>
      <c r="Q12" s="232"/>
      <c r="R12" s="233"/>
      <c r="T12" s="247" t="str">
        <f>'[3]glavni sodniki'!P26</f>
        <v xml:space="preserve"> </v>
      </c>
      <c r="U12" s="180">
        <f>IF(OR(I12="a",I12="as"),C11,IF(OR(I12="b",I12="bs"),C13,""))</f>
        <v>0</v>
      </c>
      <c r="V12" s="208">
        <v>6</v>
      </c>
      <c r="W12" s="263" t="str">
        <f>UPPER(IF($D17="","",VLOOKUP($D17,'[3]m glavni turnir žrebna lista'!$A$7:$R$38,3)))</f>
        <v>HORVAT TOMI</v>
      </c>
      <c r="X12" s="263" t="str">
        <f>PROPER(IF($D17="","",VLOOKUP($D17,'[3]m glavni turnir žrebna lista'!$A$7:$R$38,4)))</f>
        <v/>
      </c>
      <c r="Y12" s="249" t="str">
        <f t="shared" si="0"/>
        <v/>
      </c>
      <c r="Z12" s="249" t="str">
        <f>IF(Y12="","",IF(AND($Q$63=1,U16=U17),30,IF(AND($Q$63=2,U16=U17),15,IF(AND($Q$63=3,U16=U17),10,""))))</f>
        <v/>
      </c>
      <c r="AA12" s="249" t="str">
        <f>IF(Z12="","",IF(AND($Q$63=1,U16=U17,U17=U18),60,IF(AND($Q$63=2,U16=U17,U17=U18),30,IF(AND($Q$63=3,U16=U17,U17=U18),20,""))))</f>
        <v/>
      </c>
      <c r="AB12" s="249" t="str">
        <f>IF(AA12="","",IF(AND($Q$63=1,U16=$U$14,U16=U17,U17=U18),120,IF(AND($Q$63=2,U16=$U$14,U16=U17,U17=U18),60,IF(AND($Q$63=3,U16=$U$14,U16=U17,U17=U18),40,""))))</f>
        <v/>
      </c>
      <c r="AC12" s="249" t="str">
        <f>IF(AB12="","",IF(AND($Q$63=1,$U$17=$U$16,$U$16=$U$18,$U$18=$U$14,$U$22=$U$14),120,IF(AND($Q$63=2,$U$17=$U$16,$U$16=$U$18,$U$18=$U$14,$U$22=$U$14),60,IF(AND($Q$63=3,$U$17=$U$16,$U$16=$U$18,$U$18=$U$14,$U$22=$U$14),40,""))))</f>
        <v/>
      </c>
      <c r="AD12" s="249" t="str">
        <f>IF(AC12="","",IF(AND($Q$63=1,$U$17=$U$16,$U$16=$U$18,$U$18=$U$14,$U$22=$U$14,$U$38=$U$22),120,IF(AND($Q$63=2,$U$17=$U$16,$U$16=$U$18,$U$18=$U$14,$U$22=$U$14,$U$38=$U$22),60,IF(AND($Q$63=3,$U$17=$U$16,$U$16=$U$18,$U$18=$U$14,$U$22=$U$14,$U$38=$U$22),40,""))))</f>
        <v/>
      </c>
      <c r="AE12" s="250">
        <f t="shared" si="1"/>
        <v>0</v>
      </c>
      <c r="AF12" s="186"/>
      <c r="AG12" s="238"/>
      <c r="AH12" s="238"/>
      <c r="AI12" s="238"/>
      <c r="AJ12" s="238"/>
    </row>
    <row r="13" spans="1:36" s="234" customFormat="1" ht="9.6" customHeight="1">
      <c r="A13" s="239">
        <v>4</v>
      </c>
      <c r="B13" s="251" t="str">
        <f>IF($D13="","",VLOOKUP($D13,'[3]m glavni turnir žrebna lista'!$A$7:$R$38,17))</f>
        <v/>
      </c>
      <c r="C13" s="251" t="str">
        <f>IF($D13="","",VLOOKUP($D13,'[3]m glavni turnir žrebna lista'!$A$7:$R$38,2))</f>
        <v/>
      </c>
      <c r="D13" s="225"/>
      <c r="E13" s="252" t="s">
        <v>153</v>
      </c>
      <c r="F13" s="252" t="s">
        <v>154</v>
      </c>
      <c r="G13" s="252"/>
      <c r="H13" s="252" t="str">
        <f>IF($D13="","",VLOOKUP($D13,'[3]m glavni turnir žrebna lista'!$A$7:$R$38,5))</f>
        <v/>
      </c>
      <c r="I13" s="253" t="str">
        <f>IF($D13="","",VLOOKUP($D13,'[3]m glavni turnir žrebna lista'!$A$7:$R$38,14))</f>
        <v/>
      </c>
      <c r="J13" s="254"/>
      <c r="K13" s="228"/>
      <c r="L13" s="227"/>
      <c r="M13" s="265"/>
      <c r="N13" s="261"/>
      <c r="O13" s="262"/>
      <c r="P13" s="231"/>
      <c r="Q13" s="232"/>
      <c r="R13" s="233"/>
      <c r="T13" s="247" t="str">
        <f>'[3]glavni sodniki'!P27</f>
        <v xml:space="preserve"> </v>
      </c>
      <c r="U13" s="180" t="str">
        <f>IF($D13="","",VLOOKUP($D13,'[3]m glavni turnir žrebna lista'!$A$7:$R$38,2))</f>
        <v/>
      </c>
      <c r="V13" s="208">
        <v>7</v>
      </c>
      <c r="W13" s="208" t="str">
        <f>UPPER(IF($D19="","",VLOOKUP($D19,'[3]m glavni turnir žrebna lista'!$A$7:$R$38,3)))</f>
        <v/>
      </c>
      <c r="X13" s="208" t="str">
        <f>PROPER(IF($D19="","",VLOOKUP($D19,'[3]m glavni turnir žrebna lista'!$A$7:$R$38,4)))</f>
        <v/>
      </c>
      <c r="Y13" s="209" t="str">
        <f t="shared" si="0"/>
        <v/>
      </c>
      <c r="Z13" s="209" t="str">
        <f>IF(Y13="","",IF(AND($Q$63=1,U20=U19),30,IF(AND($Q$63=2,U20=U19),15,IF(AND($Q$63=3,U20=U19),10,""))))</f>
        <v/>
      </c>
      <c r="AA13" s="209" t="str">
        <f>IF(Z13="","",IF(AND($Q$63=1,U20=U18,U20=U19),60,IF(AND($Q$63=2,U20=U18,U20=U19),30,IF(AND($Q$63=3,U20=U18,U20=U19),20,""))))</f>
        <v/>
      </c>
      <c r="AB13" s="209" t="str">
        <f>IF(AA13="","",IF(AND($Q$63=1,U20=U19,U19=U18,U18=$U$14),120,IF(AND($Q$63=2,U20=U19,U19=U18,U18=$U$14),60,IF(AND($Q$63=3,U20=U19,U19=U18,U18=$U$14),40,""))))</f>
        <v/>
      </c>
      <c r="AC13" s="209" t="str">
        <f>IF(AB13="","",IF(AND($Q$63=1,$U$19=$U$20,$U$20=$U$18,$U$18=$U$14,$U$22=$U$14),120,IF(AND($Q$63=2,$U$19=$U$20,$U$20=$U$18,$U$18=$U$14,$U$22=$U$14),60,IF(AND($Q$63=3,$U$19=$U$20,$U$20=$U$18,$U$18=$U$14,$U$22=$U$14),40,""))))</f>
        <v/>
      </c>
      <c r="AD13" s="209" t="str">
        <f>IF(AC13="","",IF(AND($Q$63=1,$U$19=$U$20,$U$20=$U$18,$U$18=$U$14,$U$22=$U$14,$U$38=$U$22),120,IF(AND($Q$63=2,$U$19=$U$20,$U$20=$U$18,$U$18=$U$14,$U$22=$U$14,$U$38=$U$22),60,IF(AND($Q$63=3,$U$19=$U$20,$U$20=$U$18,$U$18=$U$14,$U$22=$U$14,$U$38=$U$22),40,""))))</f>
        <v/>
      </c>
      <c r="AE13" s="237">
        <f t="shared" si="1"/>
        <v>0</v>
      </c>
      <c r="AF13" s="186"/>
      <c r="AG13" s="238"/>
      <c r="AH13" s="238"/>
      <c r="AI13" s="238"/>
      <c r="AJ13" s="238"/>
    </row>
    <row r="14" spans="1:36" s="234" customFormat="1" ht="9.6" customHeight="1">
      <c r="A14" s="239"/>
      <c r="B14" s="240"/>
      <c r="C14" s="240"/>
      <c r="D14" s="256"/>
      <c r="E14" s="227"/>
      <c r="F14" s="227"/>
      <c r="G14" s="267"/>
      <c r="H14" s="268"/>
      <c r="I14" s="257"/>
      <c r="J14" s="227"/>
      <c r="K14" s="228"/>
      <c r="L14" s="243" t="s">
        <v>87</v>
      </c>
      <c r="M14" s="258"/>
      <c r="N14" s="259" t="str">
        <f>UPPER(IF(OR(M14="a",M14="as"),L10,IF(OR(M14="b",M14="bs"),L18,)))</f>
        <v/>
      </c>
      <c r="O14" s="260">
        <f>IF(OR(M14="a",M14="as"),M10,IF(OR(M14="b",M14="bs"),M18,))</f>
        <v>0</v>
      </c>
      <c r="P14" s="231"/>
      <c r="Q14" s="232"/>
      <c r="R14" s="233"/>
      <c r="T14" s="247" t="str">
        <f>'[3]glavni sodniki'!P28</f>
        <v xml:space="preserve"> </v>
      </c>
      <c r="U14" s="180" t="str">
        <f>IF(OR(M14="a",M14="as"),$U$10,IF(OR(M14="b",M14="bs"),U18,""))</f>
        <v/>
      </c>
      <c r="V14" s="208">
        <v>8</v>
      </c>
      <c r="W14" s="263" t="str">
        <f>UPPER(IF($D21="","",VLOOKUP($D21,'[3]m glavni turnir žrebna lista'!$A$7:$R$38,3)))</f>
        <v>MEOLIC SREČKO</v>
      </c>
      <c r="X14" s="263" t="str">
        <f>PROPER(IF($D21="","",VLOOKUP($D21,'[3]m glavni turnir žrebna lista'!$A$7:$R$38,4)))</f>
        <v>8</v>
      </c>
      <c r="Y14" s="249" t="str">
        <f t="shared" si="0"/>
        <v/>
      </c>
      <c r="Z14" s="249" t="str">
        <f>IF(Y14="","",IF(AND($Q$63=1,U21=U20),30,IF(AND($Q$63=2,U21=U20),15,IF(AND($Q$63=3,U21=U20),10,""))))</f>
        <v/>
      </c>
      <c r="AA14" s="249" t="str">
        <f>IF(Z14="","",IF(AND($Q$63=1,U20=U18,U21=U20),60,IF(AND($Q$63=2,U20=U18,U21=U20),30,IF(AND($Q$63=3,U20=U18,U21=U20),20,""))))</f>
        <v/>
      </c>
      <c r="AB14" s="249" t="str">
        <f>IF(AA14="","",IF(AND($Q$63=1,U21=U20,U20=U18,U18=$U$14),120,IF(AND($Q$63=2,U21=U20,U20=U18,U18=$U$14),60,IF(AND($Q$63=3,U21=U20,U20=U18,U18=$U$14),40,""))))</f>
        <v/>
      </c>
      <c r="AC14" s="249" t="str">
        <f>IF(AB14="","",IF(AND($Q$63=1,$U$21=$U$20,$U$20=$U$18,$U$18=$U$14,$U$22=$U$14),120,IF(AND($Q$63=2,$U$21=$U$20,$U$20=$U$18,$U$18=$U$14,$U$22=$U$14),60,IF(AND($Q$63=3,$U$21=$U$20,$U$20=$U$18,$U$18=$U$14,$U$22=$U$14),40,""))))</f>
        <v/>
      </c>
      <c r="AD14" s="249" t="str">
        <f>IF(AC14="","",IF(AND($Q$63=1,$U$21=$U$20,$U$20=$U$18,$U$18=$U$14,$U$22=$U$14,$U$38=$U$22),120,IF(AND($Q$63=2,$U$21=$U$20,$U$20=$U$18,$U$18=$U$14,$U$22=$U$14,$U$38=$U$22),60,IF(AND($Q$63=3,$U$21=$U$20,$U$20=$U$18,$U$18=$U$14,$U$22=$U$14,$U$38=$U$22),40,""))))</f>
        <v/>
      </c>
      <c r="AE14" s="250">
        <f t="shared" si="1"/>
        <v>0</v>
      </c>
      <c r="AF14" s="186"/>
      <c r="AG14" s="238"/>
      <c r="AH14" s="238"/>
      <c r="AI14" s="238"/>
      <c r="AJ14" s="238"/>
    </row>
    <row r="15" spans="1:36" s="234" customFormat="1" ht="9.6" customHeight="1">
      <c r="A15" s="239">
        <v>5</v>
      </c>
      <c r="B15" s="251">
        <f>IF($D15="","",VLOOKUP($D15,'[3]m glavni turnir žrebna lista'!$A$7:$R$38,17))</f>
        <v>0</v>
      </c>
      <c r="C15" s="251">
        <f>IF($D15="","",VLOOKUP($D15,'[3]m glavni turnir žrebna lista'!$A$7:$R$38,2))</f>
        <v>0</v>
      </c>
      <c r="D15" s="225">
        <v>14</v>
      </c>
      <c r="E15" s="252" t="s">
        <v>286</v>
      </c>
      <c r="F15" s="252" t="str">
        <f>PROPER(IF($D15="","",VLOOKUP($D15,'[3]m glavni turnir žrebna lista'!$A$7:$R$38,4)))</f>
        <v/>
      </c>
      <c r="G15" s="252"/>
      <c r="H15" s="252">
        <f>IF($D15="","",VLOOKUP($D15,'[3]m glavni turnir žrebna lista'!$A$7:$R$38,5))</f>
        <v>0</v>
      </c>
      <c r="I15" s="226">
        <f>IF($D15="","",VLOOKUP($D15,'[3]m glavni turnir žrebna lista'!$A$7:$R$38,14))</f>
        <v>0</v>
      </c>
      <c r="J15" s="227"/>
      <c r="K15" s="228"/>
      <c r="L15" s="227"/>
      <c r="M15" s="265"/>
      <c r="N15" s="254"/>
      <c r="O15" s="269"/>
      <c r="P15" s="229"/>
      <c r="Q15" s="230"/>
      <c r="R15" s="233"/>
      <c r="T15" s="247" t="str">
        <f>'[3]glavni sodniki'!P29</f>
        <v xml:space="preserve"> </v>
      </c>
      <c r="U15" s="180">
        <f>IF($D15="","",VLOOKUP($D15,'[3]m glavni turnir žrebna lista'!$A$7:$R$38,2))</f>
        <v>0</v>
      </c>
      <c r="V15" s="208">
        <v>9</v>
      </c>
      <c r="W15" s="208" t="str">
        <f>UPPER(IF($D23="","",VLOOKUP($D23,'[3]m glavni turnir žrebna lista'!$A$7:$R$38,3)))</f>
        <v>ALOJZ AŠIČ</v>
      </c>
      <c r="X15" s="208" t="str">
        <f>PROPER(IF($D23="","",VLOOKUP($D23,'[3]m glavni turnir žrebna lista'!$A$7:$R$38,4)))</f>
        <v>4</v>
      </c>
      <c r="Y15" s="209" t="str">
        <f t="shared" si="0"/>
        <v/>
      </c>
      <c r="Z15" s="209" t="str">
        <f>IF(Y15="","",IF(AND($Q$63=1,U24=U23),30,IF(AND($Q$63=2,U24=U23),15,IF(AND($Q$63=3,U24=U23),10,""))))</f>
        <v/>
      </c>
      <c r="AA15" s="209" t="str">
        <f>IF(Z15="","",IF(AND($Q$63=1,U26=U24,U24=U23),60,IF(AND($Q$63=2,U26=U24,U24=U23),30,IF(AND($Q$63=3,U26=U24,U24=U23),20,""))))</f>
        <v/>
      </c>
      <c r="AB15" s="209" t="str">
        <f>IF(AA15="","",IF(AND($Q$63=1,U23=U24,U24=U26,U26=U30),120,IF(AND($Q$63=2,U23=U24,U24=U26,U26=U30),60,IF(AND($Q$63=3,U23=U24,U24=U26,U26=U30),40,""))))</f>
        <v/>
      </c>
      <c r="AC15" s="209" t="str">
        <f>IF(AB15="","",IF(AND($Q$63=1,$U$23=$U$24,$U$24=$U$26,$U$26=$U$30,$U$30=$U$22),120,IF(AND($Q$63=2,$U$23=$U$24,$U$24=$U$26,$U$26=$U$30,$U$30=$U$22),60,IF(AND($Q$63=3,$U$23=$U$24,$U$24=$U$26,$U$26=$U$30,$U$30=$U$22),40,""))))</f>
        <v/>
      </c>
      <c r="AD15" s="209" t="str">
        <f>IF(AC15="","",IF(AND($Q$63=1,$U$23=$U$24,$U$24=$U$26,$U$26=$U$30,$U$30=$U$22,$U$38=$U$22),120,IF(AND($Q$63=2,$U$23=$U$24,$U$24=$U$26,$U$26=$U$30,$U$30=$U$22,$U$38=$U$22),60,IF(AND($Q$63=3,$U$23=$U$24,$U$24=$U$26,$U$26=$U$30,$U$30=$U$22,$U$38=$U$22),40,""))))</f>
        <v/>
      </c>
      <c r="AE15" s="237">
        <f t="shared" si="1"/>
        <v>0</v>
      </c>
      <c r="AF15" s="186"/>
      <c r="AG15" s="238"/>
      <c r="AH15" s="238"/>
      <c r="AI15" s="238"/>
      <c r="AJ15" s="238"/>
    </row>
    <row r="16" spans="1:36" s="234" customFormat="1" ht="9.6" customHeight="1" thickBot="1">
      <c r="A16" s="239"/>
      <c r="B16" s="240"/>
      <c r="C16" s="240"/>
      <c r="D16" s="256"/>
      <c r="E16" s="241"/>
      <c r="F16" s="241"/>
      <c r="G16" s="242"/>
      <c r="H16" s="243" t="s">
        <v>87</v>
      </c>
      <c r="I16" s="244"/>
      <c r="J16" s="252" t="str">
        <f>UPPER(IF(OR(I16="a",I16="as"),E15,IF(OR(I16="b",I16="bs"),E17,)))</f>
        <v/>
      </c>
      <c r="K16" s="246">
        <f>IF(OR(I16="a",I16="as"),I15,IF(OR(I16="b",I16="bs"),I17,))</f>
        <v>0</v>
      </c>
      <c r="L16" s="227"/>
      <c r="M16" s="265"/>
      <c r="N16" s="229"/>
      <c r="O16" s="269"/>
      <c r="P16" s="229"/>
      <c r="Q16" s="230"/>
      <c r="R16" s="233"/>
      <c r="T16" s="270" t="str">
        <f>'[3]glavni sodniki'!P30</f>
        <v>Brez sodnika</v>
      </c>
      <c r="U16" s="180" t="str">
        <f>IF(OR(I16="a",I16="as"),C15,IF(OR(I16="b",I16="bs"),C17,""))</f>
        <v/>
      </c>
      <c r="V16" s="208">
        <v>10</v>
      </c>
      <c r="W16" s="263" t="str">
        <f>UPPER(IF($D25="","",VLOOKUP($D25,'[3]m glavni turnir žrebna lista'!$A$7:$R$38,3)))</f>
        <v/>
      </c>
      <c r="X16" s="263" t="str">
        <f>PROPER(IF($D25="","",VLOOKUP($D25,'[3]m glavni turnir žrebna lista'!$A$7:$R$38,4)))</f>
        <v/>
      </c>
      <c r="Y16" s="249" t="str">
        <f t="shared" si="0"/>
        <v/>
      </c>
      <c r="Z16" s="249" t="str">
        <f>IF(Y16="","",IF(AND($Q$63=1,U25=U24),30,IF(AND($Q$63=2,U25=U24),15,IF(AND($Q$63=3,U25=U24),10,""))))</f>
        <v/>
      </c>
      <c r="AA16" s="249" t="str">
        <f>IF(Z16="","",IF(AND($Q$63=1,U26=U25,U25=U24),60,IF(AND($Q$63=2,U26=U25,U25=U24),30,IF(AND($Q$63=3,U26=U25,U25=U24),20,""))))</f>
        <v/>
      </c>
      <c r="AB16" s="249" t="str">
        <f>IF(AA16="","",IF(AND($Q$63=1,U24=U25,U25=U26,U26=U30),120,IF(AND($Q$63=2,U24=U25,U25=U26,U26=U30),60,IF(AND($Q$63=3,U24=U25,U25=U26,U26=U30),40,""))))</f>
        <v/>
      </c>
      <c r="AC16" s="249" t="str">
        <f>IF(AB16="","",IF(AND($Q$63=1,$U$25=$U$24,$U$24=$U$26,$U$26=$U$30,$U$30=$U$22),120,IF(AND($Q$63=2,$U$25=$U$24,$U$24=$U$26,$U$26=$U$30,$U$30=$U$22),60,IF(AND($Q$63=3,$U$25=$U$24,$U$24=$U$26,$U$26=$U$30,$U$30=$U$22),40,""))))</f>
        <v/>
      </c>
      <c r="AD16" s="249" t="str">
        <f>IF(AC16="","",IF(AND($Q$63=1,$U$25=$U$24,$U$24=$U$26,$U$26=$U$30,$U$30=$U$22,$U$38=$U$22),120,IF(AND($Q$63=2,$U$25=$U$24,$U$24=$U$26,$U$26=$U$30,$U$30=$U$22,$U$38=$U$22),60,IF(AND($Q$63=3,$U$25=$U$24,$U$24=$U$26,$U$26=$U$30,$U$30=$U$22,$U$38=$U$22),40,""))))</f>
        <v/>
      </c>
      <c r="AE16" s="250">
        <f t="shared" si="1"/>
        <v>0</v>
      </c>
      <c r="AF16" s="186"/>
      <c r="AG16" s="238"/>
      <c r="AH16" s="238"/>
      <c r="AI16" s="238"/>
      <c r="AJ16" s="238"/>
    </row>
    <row r="17" spans="1:36" s="234" customFormat="1" ht="9.6" customHeight="1">
      <c r="A17" s="239">
        <v>6</v>
      </c>
      <c r="B17" s="251">
        <f>IF($D17="","",VLOOKUP($D17,'[3]m glavni turnir žrebna lista'!$A$7:$R$38,17))</f>
        <v>0</v>
      </c>
      <c r="C17" s="251">
        <f>IF($D17="","",VLOOKUP($D17,'[3]m glavni turnir žrebna lista'!$A$7:$R$38,2))</f>
        <v>0</v>
      </c>
      <c r="D17" s="225">
        <v>13</v>
      </c>
      <c r="E17" s="252" t="str">
        <f>UPPER(IF($D17="","",VLOOKUP($D17,'[3]m glavni turnir žrebna lista'!$A$7:$R$38,3)))</f>
        <v>HORVAT TOMI</v>
      </c>
      <c r="F17" s="252" t="str">
        <f>PROPER(IF($D17="","",VLOOKUP($D17,'[3]m glavni turnir žrebna lista'!$A$7:$R$38,4)))</f>
        <v/>
      </c>
      <c r="G17" s="252"/>
      <c r="H17" s="252">
        <f>IF($D17="","",VLOOKUP($D17,'[3]m glavni turnir žrebna lista'!$A$7:$R$38,5))</f>
        <v>0</v>
      </c>
      <c r="I17" s="253">
        <f>IF($D17="","",VLOOKUP($D17,'[3]m glavni turnir žrebna lista'!$A$7:$R$38,14))</f>
        <v>0</v>
      </c>
      <c r="J17" s="254"/>
      <c r="K17" s="255"/>
      <c r="L17" s="227"/>
      <c r="M17" s="265"/>
      <c r="N17" s="229"/>
      <c r="O17" s="269"/>
      <c r="P17" s="229"/>
      <c r="Q17" s="230"/>
      <c r="R17" s="233"/>
      <c r="U17" s="180">
        <f>IF($D17="","",VLOOKUP($D17,'[3]m glavni turnir žrebna lista'!$A$7:$R$38,2))</f>
        <v>0</v>
      </c>
      <c r="V17" s="208">
        <v>11</v>
      </c>
      <c r="W17" s="208" t="str">
        <f>UPPER(IF($D27="","",VLOOKUP($D27,'[3]m glavni turnir žrebna lista'!$A$7:$R$38,3)))</f>
        <v>MAVER PETER</v>
      </c>
      <c r="X17" s="208" t="str">
        <f>PROPER(IF($D27="","",VLOOKUP($D27,'[3]m glavni turnir žrebna lista'!$A$7:$R$38,4)))</f>
        <v/>
      </c>
      <c r="Y17" s="209" t="str">
        <f t="shared" si="0"/>
        <v/>
      </c>
      <c r="Z17" s="209" t="str">
        <f>IF(Y17="","",IF(AND($Q$63=1,U28=U27),30,IF(AND($Q$63=2,U28=U27),15,IF(AND($Q$63=3,U28=U27),10,""))))</f>
        <v/>
      </c>
      <c r="AA17" s="209" t="str">
        <f>IF(Z17="","",IF(AND($Q$63=1,U27=U26,U26=U28),60,IF(AND($Q$63=2,U27=U26,U26=U28),30,IF(AND($Q$63=3,U27=U26,U26=U28),20,""))))</f>
        <v/>
      </c>
      <c r="AB17" s="209" t="str">
        <f>IF(AA17="","",IF(AND($Q$63=1,U28=U27,U26=U27,U28=U30),120,IF(AND($Q$63=2,U28=U27,U26=U27,U28=U30),60,IF(AND($Q$63=3,U28=U26,U26=U27,U28=U30),40,""))))</f>
        <v/>
      </c>
      <c r="AC17" s="209" t="str">
        <f>IF(AB17="","",IF(AND($Q$63=1,$U$27=$U$28,$U$28=$U$26,$U$26=$U$30,$U$30=$U$22),120,IF(AND($Q$63=2,$U$27=$U$28,$U$28=$U$26,$U$26=$U$30,$U$30=$U$22),60,IF(AND($Q$63=3,$U$27=$U$28,$U$28=$U$26,$U$26=$U$30,$U$30=$U$22),40,""))))</f>
        <v/>
      </c>
      <c r="AD17" s="209" t="str">
        <f>IF(AC17="","",IF(AND($Q$63=1,$U$27=$U$28,$U$28=$U$26,$U$26=$U$30,$U$30=$U$22,$U$38=$U$22),120,IF(AND($Q$63=2,$U$27=$U$28,$U$28=$U$26,$U$26=$U$30,$U$30=$U$22,$U$38=$U$22),60,IF(AND($Q$63=3,$U$27=$U$28,$U$28=$U$26,$U$26=$U$30,$U$30=$U$22,$U$38=$U$22),40,""))))</f>
        <v/>
      </c>
      <c r="AE17" s="237">
        <f t="shared" si="1"/>
        <v>0</v>
      </c>
      <c r="AF17" s="186"/>
      <c r="AG17" s="238"/>
      <c r="AH17" s="238"/>
      <c r="AI17" s="238"/>
      <c r="AJ17" s="238"/>
    </row>
    <row r="18" spans="1:36" s="234" customFormat="1" ht="9.6" customHeight="1">
      <c r="A18" s="239"/>
      <c r="B18" s="240"/>
      <c r="C18" s="240"/>
      <c r="D18" s="256"/>
      <c r="E18" s="241"/>
      <c r="F18" s="241"/>
      <c r="G18" s="242"/>
      <c r="H18" s="227"/>
      <c r="I18" s="257"/>
      <c r="J18" s="243" t="s">
        <v>87</v>
      </c>
      <c r="K18" s="258"/>
      <c r="L18" s="259" t="str">
        <f>UPPER(IF(OR(K18="a",K18="as"),J16,IF(OR(K18="b",K18="bs"),J20,)))</f>
        <v/>
      </c>
      <c r="M18" s="271">
        <f>IF(OR(K18="a",K18="as"),K16,IF(OR(K18="b",K18="bs"),K20,))</f>
        <v>0</v>
      </c>
      <c r="N18" s="229"/>
      <c r="O18" s="269"/>
      <c r="P18" s="229"/>
      <c r="Q18" s="230"/>
      <c r="R18" s="233"/>
      <c r="U18" s="180" t="str">
        <f>IF(OR(K18="a",K18="as"),U16,IF(OR(K18="b",K18="bs"),U20,""))</f>
        <v/>
      </c>
      <c r="V18" s="208">
        <v>12</v>
      </c>
      <c r="W18" s="263" t="str">
        <f>UPPER(IF($D29="","",VLOOKUP($D29,'[3]m glavni turnir žrebna lista'!$A$7:$R$38,3)))</f>
        <v/>
      </c>
      <c r="X18" s="263" t="str">
        <f>PROPER(IF($D29="","",VLOOKUP($D29,'[3]m glavni turnir žrebna lista'!$A$7:$R$38,4)))</f>
        <v/>
      </c>
      <c r="Y18" s="249" t="str">
        <f t="shared" si="0"/>
        <v/>
      </c>
      <c r="Z18" s="249" t="str">
        <f>IF(Y18="","",IF(AND($Q$63=1,U29=U28),30,IF(AND($Q$63=2,U29=U28),15,IF(AND($Q$63=3,U29=U28),10,""))))</f>
        <v/>
      </c>
      <c r="AA18" s="249" t="str">
        <f>IF(Z18="","",IF(AND($Q$63=1,U28=U26,U28=U29),60,IF(AND($Q$63=2,U28=U26,U26=U29),30,IF(AND($Q$63=3,U28=U26,U26=U29),20,""))))</f>
        <v/>
      </c>
      <c r="AB18" s="249" t="str">
        <f>IF(AA18="","",IF(AND($Q$63=1,U29=U28,U26=U28,U29=U30),120,IF(AND($Q$63=2,U29=U28,U26=U28,U29=U30),60,IF(AND($Q$63=3,U29=U26,U26=U28,U29=U30),40,""))))</f>
        <v/>
      </c>
      <c r="AC18" s="249" t="str">
        <f>IF(AB18="","",IF(AND($Q$63=1,$U$29=$U$28,$U$28=$U$26,$U$26=$U$30,$U$30=$U$22),120,IF(AND($Q$63=2,$U$29=$U$28,$U$28=$U$26,$U$26=$U$30,$U$30=$U$22),60,IF(AND($Q$63=3,$U$29=$U$28,$U$28=$U$26,$U$26=$U$30,$U$30=$U$22),40,""))))</f>
        <v/>
      </c>
      <c r="AD18" s="249" t="str">
        <f>IF(AC18="","",IF(AND($Q$63=1,$U$29=$U$28,$U$28=$U$26,$U$26=$U$30,$U$30=$U$22,$U$38=$U$22),120,IF(AND($Q$63=2,$U$29=$U$28,$U$28=$U$26,$U$26=$U$30,$U$30=$U$22,$U$38=$U$22),60,IF(AND($Q$63=3,$U$29=$U$28,$U$28=$U$26,$U$26=$U$30,$U$30=$U$22,$U$38=$U$22),40,""))))</f>
        <v/>
      </c>
      <c r="AE18" s="250">
        <f t="shared" si="1"/>
        <v>0</v>
      </c>
      <c r="AF18" s="186"/>
      <c r="AG18" s="238"/>
      <c r="AH18" s="238"/>
      <c r="AI18" s="238"/>
      <c r="AJ18" s="238"/>
    </row>
    <row r="19" spans="1:36" s="234" customFormat="1" ht="9.6" customHeight="1">
      <c r="A19" s="239">
        <v>7</v>
      </c>
      <c r="B19" s="251" t="str">
        <f>IF($D19="","",VLOOKUP($D19,'[3]m glavni turnir žrebna lista'!$A$7:$R$38,17))</f>
        <v/>
      </c>
      <c r="C19" s="251" t="str">
        <f>IF($D19="","",VLOOKUP($D19,'[3]m glavni turnir žrebna lista'!$A$7:$R$38,2))</f>
        <v/>
      </c>
      <c r="D19" s="225"/>
      <c r="E19" s="252" t="s">
        <v>3</v>
      </c>
      <c r="F19" s="252" t="str">
        <f>PROPER(IF($D19="","",VLOOKUP($D19,'[3]m glavni turnir žrebna lista'!$A$7:$R$38,4)))</f>
        <v/>
      </c>
      <c r="G19" s="252"/>
      <c r="H19" s="252" t="str">
        <f>IF($D19="","",VLOOKUP($D19,'[3]m glavni turnir žrebna lista'!$A$7:$R$38,5))</f>
        <v/>
      </c>
      <c r="I19" s="226" t="str">
        <f>IF($D19="","",VLOOKUP($D19,'[3]m glavni turnir žrebna lista'!$A$7:$R$38,14))</f>
        <v/>
      </c>
      <c r="J19" s="227"/>
      <c r="K19" s="264"/>
      <c r="L19" s="254"/>
      <c r="M19" s="262"/>
      <c r="N19" s="229"/>
      <c r="O19" s="269"/>
      <c r="P19" s="229"/>
      <c r="Q19" s="230"/>
      <c r="R19" s="233"/>
      <c r="U19" s="180" t="str">
        <f>IF($D19="","",VLOOKUP($D19,'[3]m glavni turnir žrebna lista'!$A$7:$R$38,2))</f>
        <v/>
      </c>
      <c r="V19" s="208">
        <v>13</v>
      </c>
      <c r="W19" s="208" t="str">
        <f>UPPER(IF($D31="","",VLOOKUP($D31,'[3]m glavni turnir žrebna lista'!$A$7:$R$38,3)))</f>
        <v>SVOLJŠAK JANEZ</v>
      </c>
      <c r="X19" s="208" t="str">
        <f>PROPER(IF($D31="","",VLOOKUP($D31,'[3]m glavni turnir žrebna lista'!$A$7:$R$38,4)))</f>
        <v/>
      </c>
      <c r="Y19" s="209" t="str">
        <f t="shared" si="0"/>
        <v/>
      </c>
      <c r="Z19" s="209" t="str">
        <f>IF(Y19="","",IF(AND($Q$63=1,U32=U31),30,IF(AND($Q$63=2,U32=U31),15,IF(AND($Q$63=3,U32=U31),10,""))))</f>
        <v/>
      </c>
      <c r="AA19" s="209" t="str">
        <f>IF(Z19="","",IF(AND($Q$63=1,U34=U32,U32=U31),60,IF(AND($Q$63=2,U34=U32,U32=U31),30,IF(AND($Q$63=3,U34=U32,U32=U31),20,""))))</f>
        <v/>
      </c>
      <c r="AB19" s="209" t="str">
        <f>IF(AA19="","",IF(AND($Q$63=1,U31=U32,U32=U34,U30=U34),120,IF(AND($Q$63=2,U31=U32,U32=U34,U30=U34),60,IF(AND($Q$63=3,U31=U32,U32=U34,U30=U34),40,""))))</f>
        <v/>
      </c>
      <c r="AC19" s="209" t="str">
        <f>IF(AB19="","",IF(AND($Q$63=1,$U$31=$U$32,$U$32=$U$34,$U$34=$U$30,$U$30=$U$22),120,IF(AND($Q$63=2,$U$31=$U$32,$U$32=$U$34,$U$34=$U$30,$U$30=$U$22),60,IF(AND($Q$63=3,$U$31=$U$32,$U$32=$U$34,$U$34=$U$30,$U$30=$U$22),40,""))))</f>
        <v/>
      </c>
      <c r="AD19" s="209" t="str">
        <f>IF(AC19="","",IF(AND($Q$63=1,$U$31=$U$32,$U$32=$U$34,$U$34=$U$30,$U$30=$U$22,$U$38=$U$22),120,IF(AND($Q$63=2,$U$31=$U$32,$U$32=$U$34,$U$34=$U$30,$U$30=$U$22,$U$38=$U$22),60,IF(AND($Q$63=3,$U$31=$U$32,$U$32=$U$34,$U$34=$U$30,$U$30=$U$22,$U$38=$U$22),40,""))))</f>
        <v/>
      </c>
      <c r="AE19" s="237">
        <f t="shared" si="1"/>
        <v>0</v>
      </c>
      <c r="AF19" s="186"/>
      <c r="AG19" s="238"/>
      <c r="AH19" s="238"/>
      <c r="AI19" s="238"/>
      <c r="AJ19" s="238"/>
    </row>
    <row r="20" spans="1:36" s="234" customFormat="1" ht="9.6" customHeight="1">
      <c r="A20" s="239"/>
      <c r="B20" s="240"/>
      <c r="C20" s="240"/>
      <c r="D20" s="240"/>
      <c r="E20" s="241"/>
      <c r="F20" s="241"/>
      <c r="G20" s="242"/>
      <c r="H20" s="243" t="s">
        <v>87</v>
      </c>
      <c r="I20" s="244"/>
      <c r="J20" s="245" t="s">
        <v>126</v>
      </c>
      <c r="K20" s="272">
        <f>IF(OR(I20="a",I20="as"),I19,IF(OR(I20="b",I20="bs"),I21,))</f>
        <v>0</v>
      </c>
      <c r="L20" s="227"/>
      <c r="M20" s="262"/>
      <c r="N20" s="229"/>
      <c r="O20" s="269"/>
      <c r="P20" s="229"/>
      <c r="Q20" s="230"/>
      <c r="R20" s="233"/>
      <c r="U20" s="180" t="str">
        <f>IF(OR(I20="a",I20="as"),C19,IF(OR(I20="b",I20="bs"),C21,""))</f>
        <v/>
      </c>
      <c r="V20" s="208">
        <v>14</v>
      </c>
      <c r="W20" s="263" t="str">
        <f>UPPER(IF($D33="","",VLOOKUP($D33,'[3]m glavni turnir žrebna lista'!$A$7:$R$38,3)))</f>
        <v>NOSAN ROBERT</v>
      </c>
      <c r="X20" s="263" t="str">
        <f>PROPER(IF($D33="","",VLOOKUP($D33,'[3]m glavni turnir žrebna lista'!$A$7:$R$38,4)))</f>
        <v/>
      </c>
      <c r="Y20" s="249" t="str">
        <f t="shared" si="0"/>
        <v/>
      </c>
      <c r="Z20" s="249" t="str">
        <f>IF(Y20="","",IF(AND($Q$63=1,U33=U32),30,IF(AND($Q$63=2,U33=U32),15,IF(AND($Q$63=3,U33=U32),10,""))))</f>
        <v/>
      </c>
      <c r="AA20" s="249" t="str">
        <f>IF(Z20="","",IF(AND($Q$63=1,U34=U33,U33=U32),60,IF(AND($Q$63=2,U34=U33,U33=U32),30,IF(AND($Q$63=3,U34=U33,U33=U32),20,""))))</f>
        <v/>
      </c>
      <c r="AB20" s="249" t="str">
        <f>IF(AA20="","",IF(AND($Q$63=1,U32=U33,U33=U30,U30=U34),120,IF(AND($Q$63=2,U32=U33,U33=U30,U30=U34),60,IF(AND($Q$63=3,U32=U33,U33=U30,U30=U34),40,""))))</f>
        <v/>
      </c>
      <c r="AC20" s="249" t="str">
        <f>IF(AB20="","",IF(AND($Q$63=1,$U$33=$U$32,$U$32=$U$34,$U$34=$U$30,$U$30=$U$22),120,IF(AND($Q$63=2,$U$33=$U$32,$U$32=$U$34,$U$34=$U$30,$U$30=$U$22),60,IF(AND($Q$63=3,$U$33=$U$32,$U$32=$U$34,$U$34=$U$30,$U$30=$U$22),40,""))))</f>
        <v/>
      </c>
      <c r="AD20" s="249" t="str">
        <f>IF(AC20="","",IF(AND($Q$63=1,$U$33=$U$32,$U$32=$U$34,$U$34=$U$30,$U$30=$U$22,$U$38=$U$22),120,IF(AND($Q$63=2,$U$33=$U$32,$U$32=$U$34,$U$34=$U$30,$U$30=$U$22,$U$38=$U$22),60,IF(AND($Q$63=3,$U$33=$U$32,$U$32=$U$34,$U$34=$U$30,$U$30=$U$22,$U$38=$U$22),40,""))))</f>
        <v/>
      </c>
      <c r="AE20" s="250">
        <f t="shared" si="1"/>
        <v>0</v>
      </c>
      <c r="AF20" s="186"/>
      <c r="AG20" s="238"/>
      <c r="AH20" s="238"/>
      <c r="AI20" s="238"/>
      <c r="AJ20" s="238"/>
    </row>
    <row r="21" spans="1:36" s="234" customFormat="1" ht="9.6" customHeight="1">
      <c r="A21" s="223">
        <v>8</v>
      </c>
      <c r="B21" s="224">
        <f>IF($D21="","",VLOOKUP($D21,'[3]m glavni turnir žrebna lista'!$A$7:$R$38,17))</f>
        <v>0</v>
      </c>
      <c r="C21" s="224">
        <f>IF($D21="","",VLOOKUP($D21,'[3]m glavni turnir žrebna lista'!$A$7:$R$38,2))</f>
        <v>0</v>
      </c>
      <c r="D21" s="225">
        <v>8</v>
      </c>
      <c r="E21" s="224" t="str">
        <f>UPPER(IF($D21="","",VLOOKUP($D21,'[3]m glavni turnir žrebna lista'!$A$7:$R$38,3)))</f>
        <v>MEOLIC SREČKO</v>
      </c>
      <c r="F21" s="224" t="str">
        <f>PROPER(IF($D21="","",VLOOKUP($D21,'[3]m glavni turnir žrebna lista'!$A$7:$R$38,4)))</f>
        <v>8</v>
      </c>
      <c r="G21" s="224"/>
      <c r="H21" s="224">
        <f>IF($D21="","",VLOOKUP($D21,'[3]m glavni turnir žrebna lista'!$A$7:$R$38,5))</f>
        <v>0</v>
      </c>
      <c r="I21" s="253">
        <f>IF($D21="","",VLOOKUP($D21,'[3]m glavni turnir žrebna lista'!$A$7:$R$38,14))</f>
        <v>0</v>
      </c>
      <c r="J21" s="254"/>
      <c r="K21" s="228"/>
      <c r="L21" s="227"/>
      <c r="M21" s="262"/>
      <c r="N21" s="229"/>
      <c r="O21" s="269"/>
      <c r="P21" s="229"/>
      <c r="Q21" s="230"/>
      <c r="R21" s="233"/>
      <c r="U21" s="180">
        <f>IF($D21="","",VLOOKUP($D21,'[3]m glavni turnir žrebna lista'!$A$7:$R$38,2))</f>
        <v>0</v>
      </c>
      <c r="V21" s="208">
        <v>15</v>
      </c>
      <c r="W21" s="208" t="str">
        <f>UPPER(IF($D35="","",VLOOKUP($D35,'[3]m glavni turnir žrebna lista'!$A$7:$R$38,3)))</f>
        <v/>
      </c>
      <c r="X21" s="208" t="str">
        <f>PROPER(IF($D35="","",VLOOKUP($D35,'[3]m glavni turnir žrebna lista'!$A$7:$R$38,4)))</f>
        <v/>
      </c>
      <c r="Y21" s="209" t="str">
        <f t="shared" si="0"/>
        <v/>
      </c>
      <c r="Z21" s="209" t="str">
        <f>IF(Y21="","",IF(AND($Q$63=1,U36=U35),30,IF(AND($Q$63=2,U36=U35),15,IF(AND($Q$63=3,U36=U35),10,""))))</f>
        <v/>
      </c>
      <c r="AA21" s="209" t="str">
        <f>IF(Z21="","",IF(AND($Q$63=1,U35=U34,U34=U36),60,IF(AND($Q$63=2,U35=U34,U34=U36),30,IF(AND($Q$63=3,U35=U34,U34=U36),20,""))))</f>
        <v/>
      </c>
      <c r="AB21" s="209" t="str">
        <f>IF(AA21="","",IF(AND($Q$63=1,U30=U34,U34=U35,U35=U36),120,IF(AND($Q$63=2,U30=U34,U34=U35,U35=U36),60,IF(AND($Q$63=3,U30=U34,U34=U35,U35=U36),40,""))))</f>
        <v/>
      </c>
      <c r="AC21" s="209" t="str">
        <f>IF(AB21="","",IF(AND($Q$63=1,$U$35=$U$36,$U$36=$U$34,$U$34=$U$30,$U$30=$U$22),120,IF(AND($Q$63=2,$U$35=$U$36,$U$36=$U$34,$U$34=$U$30,$U$30=$U$22),60,IF(AND($Q$63=3,$U$35=$U$36,$U$36=$U$34,$U$34=$U$30,$U$30=$U$22),40,""))))</f>
        <v/>
      </c>
      <c r="AD21" s="209" t="str">
        <f>IF(AC21="","",IF(AND($Q$63=1,$U$35=$U$36,$U$36=$U$34,$U$34=$U$30,$U$30=$U$22,$U$38=$U$22),120,IF(AND($Q$63=2,$U$35=$U$36,$U$36=$U$34,$U$34=$U$30,$U$30=$U$22,$U$38=$U$22),60,IF(AND($Q$63=3,$U$35=$U$36,$U$36=$U$34,$U$34=$U$30,$U$30=$U$22,$U$38=$U$22),40,""))))</f>
        <v/>
      </c>
      <c r="AE21" s="237">
        <f t="shared" si="1"/>
        <v>0</v>
      </c>
      <c r="AF21" s="186"/>
      <c r="AG21" s="238"/>
      <c r="AH21" s="238"/>
      <c r="AI21" s="238"/>
      <c r="AJ21" s="238"/>
    </row>
    <row r="22" spans="1:36" s="234" customFormat="1" ht="9.6" customHeight="1">
      <c r="A22" s="239"/>
      <c r="B22" s="240"/>
      <c r="C22" s="240"/>
      <c r="D22" s="240"/>
      <c r="E22" s="268"/>
      <c r="F22" s="268"/>
      <c r="G22" s="273"/>
      <c r="H22" s="268"/>
      <c r="I22" s="257"/>
      <c r="J22" s="227"/>
      <c r="K22" s="228"/>
      <c r="L22" s="227"/>
      <c r="M22" s="262"/>
      <c r="N22" s="243" t="s">
        <v>87</v>
      </c>
      <c r="O22" s="258"/>
      <c r="P22" s="259" t="str">
        <f>UPPER(IF(OR(O22="a",O22="as"),N14,IF(OR(O22="b",O22="bs"),N30,)))</f>
        <v/>
      </c>
      <c r="Q22" s="274">
        <f>IF(OR(O22="a",O22="as"),O14,IF(OR(O22="b",O22="bs"),O30,))</f>
        <v>0</v>
      </c>
      <c r="R22" s="233"/>
      <c r="U22" s="180" t="str">
        <f>IF(OR(O22="a",O22="as"),$U$14,IF(OR(O22="b",O22="bs"),U30,""))</f>
        <v/>
      </c>
      <c r="V22" s="208">
        <v>16</v>
      </c>
      <c r="W22" s="263" t="str">
        <f>UPPER(IF($D37="","",VLOOKUP($D37,'[3]m glavni turnir žrebna lista'!$A$7:$R$38,3)))</f>
        <v>KUKOVICA ROBERT</v>
      </c>
      <c r="X22" s="263" t="str">
        <f>PROPER(IF($D37="","",VLOOKUP($D37,'[3]m glavni turnir žrebna lista'!$A$7:$R$38,4)))</f>
        <v>5</v>
      </c>
      <c r="Y22" s="249" t="str">
        <f t="shared" si="0"/>
        <v/>
      </c>
      <c r="Z22" s="249" t="str">
        <f>IF(Y22="","",IF(AND($Q$63=1,U37=U36),30,IF(AND($Q$63=2,U37=U36),15,IF(AND($Q$63=3,U37=U36),10,""))))</f>
        <v/>
      </c>
      <c r="AA22" s="249" t="str">
        <f>IF(Z22="","",IF(AND($Q$63=1,U36=U34,U34=U37),60,IF(AND($Q$63=2,U36=U34,U34=U37),30,IF(AND($Q$63=3,U36=U34,U34=U37),20,""))))</f>
        <v/>
      </c>
      <c r="AB22" s="249" t="str">
        <f>IF(AA22="","",IF(AND($Q$63=1,U30=U34,U34=U36,U36=U37),120,IF(AND($Q$63=2,U30=U34,U34=U36,U36=U37),60,IF(AND($Q$63=3,U30=U34,U34=U36,U36=U37),40,""))))</f>
        <v/>
      </c>
      <c r="AC22" s="249" t="str">
        <f>IF(AB22="","",IF(AND($Q$63=1,$U$37=$U$36,$U$36=$U$34,$U$34=$U$30,$U$30=$U$22),120,IF(AND($Q$63=2,$U$37=$U$36,$U$36=$U$34,$U$34=$U$30,$U$30=$U$22),60,IF(AND($Q$63=3,$U$37=$U$36,$U$36=$U$34,$U$34=$U$30,$U$30=$U$22),40,""))))</f>
        <v/>
      </c>
      <c r="AD22" s="249" t="str">
        <f>IF(AC22="","",IF(AND($Q$63=1,$U$37=$U$36,$U$36=$U$34,$U$34=$U$30,$U$30=$U$22,$U$38=$U$22),120,IF(AND($Q$63=2,$U$37=$U$36,$U$36=$U$34,$U$34=$U$30,$U$30=$U$22,$U$38=$U$22),60,IF(AND($Q$63=3,$U$37=$U$36,$U$36=$U$34,$U$34=$U$30,$U$30=$U$22,$U$38=$U$22),40,""))))</f>
        <v/>
      </c>
      <c r="AE22" s="250">
        <f t="shared" si="1"/>
        <v>0</v>
      </c>
      <c r="AF22" s="186"/>
      <c r="AG22" s="238"/>
      <c r="AH22" s="238"/>
      <c r="AI22" s="238"/>
      <c r="AJ22" s="238"/>
    </row>
    <row r="23" spans="1:36" s="234" customFormat="1" ht="9.6" customHeight="1">
      <c r="A23" s="223">
        <v>9</v>
      </c>
      <c r="B23" s="224">
        <f>IF($D23="","",VLOOKUP($D23,'[3]m glavni turnir žrebna lista'!$A$7:$R$38,17))</f>
        <v>0</v>
      </c>
      <c r="C23" s="224">
        <f>IF($D23="","",VLOOKUP($D23,'[3]m glavni turnir žrebna lista'!$A$7:$R$38,2))</f>
        <v>0</v>
      </c>
      <c r="D23" s="225">
        <v>4</v>
      </c>
      <c r="E23" s="224" t="str">
        <f>UPPER(IF($D23="","",VLOOKUP($D23,'[3]m glavni turnir žrebna lista'!$A$7:$R$38,3)))</f>
        <v>ALOJZ AŠIČ</v>
      </c>
      <c r="F23" s="224" t="str">
        <f>PROPER(IF($D23="","",VLOOKUP($D23,'[3]m glavni turnir žrebna lista'!$A$7:$R$38,4)))</f>
        <v>4</v>
      </c>
      <c r="G23" s="224"/>
      <c r="H23" s="224">
        <f>IF($D23="","",VLOOKUP($D23,'[3]m glavni turnir žrebna lista'!$A$7:$R$38,5))</f>
        <v>0</v>
      </c>
      <c r="I23" s="226">
        <f>IF($D23="","",VLOOKUP($D23,'[3]m glavni turnir žrebna lista'!$A$7:$R$38,14))</f>
        <v>0</v>
      </c>
      <c r="J23" s="227"/>
      <c r="K23" s="228"/>
      <c r="L23" s="227"/>
      <c r="M23" s="262"/>
      <c r="N23" s="229"/>
      <c r="O23" s="269"/>
      <c r="P23" s="254"/>
      <c r="Q23" s="269"/>
      <c r="R23" s="233"/>
      <c r="U23" s="180">
        <f>IF($D23="","",VLOOKUP($D23,'[3]m glavni turnir žrebna lista'!$A$7:$R$38,2))</f>
        <v>0</v>
      </c>
      <c r="V23" s="208">
        <v>17</v>
      </c>
      <c r="W23" s="208" t="str">
        <f>UPPER(IF($D39="","",VLOOKUP($D39,'[3]m glavni turnir žrebna lista'!$A$7:$R$38,3)))</f>
        <v>RAGUŽ DRAGAN</v>
      </c>
      <c r="X23" s="208" t="str">
        <f>PROPER(IF($D39="","",VLOOKUP($D39,'[3]m glavni turnir žrebna lista'!$A$7:$R$38,4)))</f>
        <v>6</v>
      </c>
      <c r="Y23" s="209" t="str">
        <f t="shared" si="0"/>
        <v/>
      </c>
      <c r="Z23" s="209" t="str">
        <f>IF(Y23="","",IF(AND($Q$63=1,U40=U39),30,IF(AND($Q$63=2,U40=U39),15,IF(AND($Q$63=3,U40=U39),10,""))))</f>
        <v/>
      </c>
      <c r="AA23" s="209" t="str">
        <f>IF(Z23="","",IF(AND($Q$63=1,U39=U40,U40=U42),60,IF(AND($Q$63=2,U39=U40,U40=U42),30,IF(AND($Q$63=3,U39=U40,U40=U42),20,""))))</f>
        <v/>
      </c>
      <c r="AB23" s="209" t="str">
        <f>IF(AA23="","",IF(AND($Q$63=1,U46=U42,U42=U40,U40=U39),120,IF(AND($Q$63=2,U46=U42,U42=U40,U40=U39),60,IF(AND($Q$63=3,U46=U42,U42=U40,U40=U39),40,""))))</f>
        <v/>
      </c>
      <c r="AC23" s="209" t="str">
        <f>IF(AB23="","",IF(AND($Q$63=1,$U$39=$U$40,$U$40=$U$42,$U$42=$U$46,$U$46=$U$54),120,IF(AND($Q$63=2,$U$39=$U$40,$U$40=$U$42,$U$42=$U$46,$U$46=$U$54),60,IF(AND($Q$63=3,$U$39=$U$40,$U$40=$U$42,$U$42=$U$46,$U$46=$U$54),40,""))))</f>
        <v/>
      </c>
      <c r="AD23" s="209" t="str">
        <f>IF(AC23="","",IF(AND($Q$63=1,$U$39=$U$40,$U$40=$U$42,$U$42=$U$46,$U$46=$U$54,$U$38=$U$54),120,IF(AND($Q$63=2,$U$39=$U$40,$U$40=$U$42,$U$42=$U$46,$U$46=$U$54,$U$38=$U$54),60,IF(AND($Q$63=3,$U$39=$U$40,$U$40=$U$42,$U$42=$U$46,$U$46=$U$54,$U$38=$U$54),40,""))))</f>
        <v/>
      </c>
      <c r="AE23" s="237">
        <f t="shared" si="1"/>
        <v>0</v>
      </c>
      <c r="AF23" s="186"/>
      <c r="AG23" s="238"/>
      <c r="AH23" s="238"/>
      <c r="AI23" s="238"/>
      <c r="AJ23" s="238"/>
    </row>
    <row r="24" spans="1:36" s="234" customFormat="1" ht="9.6" customHeight="1">
      <c r="A24" s="239"/>
      <c r="B24" s="240"/>
      <c r="C24" s="240"/>
      <c r="D24" s="240"/>
      <c r="E24" s="241"/>
      <c r="F24" s="241"/>
      <c r="G24" s="242"/>
      <c r="H24" s="243" t="s">
        <v>87</v>
      </c>
      <c r="I24" s="244" t="s">
        <v>121</v>
      </c>
      <c r="J24" s="245" t="s">
        <v>127</v>
      </c>
      <c r="K24" s="246">
        <f>IF(OR(I24="a",I24="as"),I23,IF(OR(I24="b",I24="bs"),I25,))</f>
        <v>0</v>
      </c>
      <c r="L24" s="227"/>
      <c r="M24" s="262"/>
      <c r="N24" s="229"/>
      <c r="O24" s="269"/>
      <c r="P24" s="229"/>
      <c r="Q24" s="269"/>
      <c r="R24" s="233"/>
      <c r="U24" s="180">
        <f>IF(OR(I24="a",I24="as"),C23,IF(OR(I24="b",I24="bs"),C25,""))</f>
        <v>0</v>
      </c>
      <c r="V24" s="208">
        <v>18</v>
      </c>
      <c r="W24" s="263" t="str">
        <f>UPPER(IF($D41="","",VLOOKUP($D41,'[3]m glavni turnir žrebna lista'!$A$7:$R$38,3)))</f>
        <v/>
      </c>
      <c r="X24" s="263" t="str">
        <f>PROPER(IF($D41="","",VLOOKUP($D41,'[3]m glavni turnir žrebna lista'!$A$7:$R$38,4)))</f>
        <v/>
      </c>
      <c r="Y24" s="249" t="str">
        <f t="shared" si="0"/>
        <v/>
      </c>
      <c r="Z24" s="249" t="str">
        <f>IF(Y24="","",IF(AND($Q$63=1,U41=U40),30,IF(AND($Q$63=2,U41=U40),15,IF(AND($Q$63=3,U41=U40),10,""))))</f>
        <v/>
      </c>
      <c r="AA24" s="249" t="str">
        <f>IF(Z24="","",IF(AND($Q$63=1,U40=U41,U41=U42),60,IF(AND($Q$63=2,U40=U41,U41=U42),30,IF(AND($Q$63=3,U40=U41,U41=U42),20,""))))</f>
        <v/>
      </c>
      <c r="AB24" s="249" t="str">
        <f>IF(AA24="","",IF(AND($Q$63=1,U46=U42,U42=U40,U40=U41),120,IF(AND($Q$63=2,U46=U42,U42=U40,U40=U41),60,IF(AND($Q$63=3,U46=U42,U42=U40,U41=U40),40,""))))</f>
        <v/>
      </c>
      <c r="AC24" s="249" t="str">
        <f>IF(AB24="","",IF(AND($Q$63=1,$U$41=$U$40,$U$40=$U$42,$U$42=$U$46,$U$46=$U$54),120,IF(AND($Q$63=2,$U$41=$U$40,$U$40=$U$42,$U$42=$U$46,$U$46=$U$54),60,IF(AND($Q$63=3,$U$41=$U$40,$U$40=$U$42,$U$42=$U$46,$U$46=$U$54),40,""))))</f>
        <v/>
      </c>
      <c r="AD24" s="249" t="str">
        <f>IF(AC24="","",IF(AND($Q$63=1,$U$41=$U$40,$U$40=$U$42,$U$42=$U$46,$U$46=$U$54,$U$38=$U$54),120,IF(AND($Q$63=2,$U$41=$U$40,$U$40=$U$42,$U$42=$U$46,$U$46=$U$54,$U$38=$U$54),60,IF(AND($Q$63=3,$U$41=$U$40,$U$40=$U$42,$U$42=$U$46,$U$46=$U$54,$U$38=$U$54),40,""))))</f>
        <v/>
      </c>
      <c r="AE24" s="250">
        <f t="shared" si="1"/>
        <v>0</v>
      </c>
      <c r="AF24" s="186"/>
      <c r="AG24" s="238"/>
      <c r="AH24" s="238"/>
      <c r="AI24" s="238"/>
      <c r="AJ24" s="238"/>
    </row>
    <row r="25" spans="1:36" s="234" customFormat="1" ht="9.6" customHeight="1">
      <c r="A25" s="239">
        <v>10</v>
      </c>
      <c r="B25" s="251" t="str">
        <f>IF($D25="","",VLOOKUP($D25,'[3]m glavni turnir žrebna lista'!$A$7:$R$38,17))</f>
        <v/>
      </c>
      <c r="C25" s="251" t="str">
        <f>IF($D25="","",VLOOKUP($D25,'[3]m glavni turnir žrebna lista'!$A$7:$R$38,2))</f>
        <v/>
      </c>
      <c r="D25" s="225"/>
      <c r="E25" s="252" t="s">
        <v>3</v>
      </c>
      <c r="F25" s="252" t="str">
        <f>PROPER(IF($D25="","",VLOOKUP($D25,'[3]m glavni turnir žrebna lista'!$A$7:$R$38,4)))</f>
        <v/>
      </c>
      <c r="G25" s="252"/>
      <c r="H25" s="252" t="str">
        <f>IF($D25="","",VLOOKUP($D25,'[3]m glavni turnir žrebna lista'!$A$7:$R$38,5))</f>
        <v/>
      </c>
      <c r="I25" s="253" t="str">
        <f>IF($D25="","",VLOOKUP($D25,'[3]m glavni turnir žrebna lista'!$A$7:$R$38,14))</f>
        <v/>
      </c>
      <c r="J25" s="254"/>
      <c r="K25" s="255"/>
      <c r="L25" s="227"/>
      <c r="M25" s="262"/>
      <c r="N25" s="229"/>
      <c r="O25" s="269"/>
      <c r="P25" s="229"/>
      <c r="Q25" s="269"/>
      <c r="R25" s="233"/>
      <c r="U25" s="180" t="str">
        <f>IF($D25="","",VLOOKUP($D25,'[3]m glavni turnir žrebna lista'!$A$7:$R$38,2))</f>
        <v/>
      </c>
      <c r="V25" s="208">
        <v>19</v>
      </c>
      <c r="W25" s="208" t="str">
        <f>UPPER(IF($D43="","",VLOOKUP($D43,'[3]m glavni turnir žrebna lista'!$A$7:$R$38,3)))</f>
        <v>ERŽEN MATEJ</v>
      </c>
      <c r="X25" s="208" t="str">
        <f>PROPER(IF($D43="","",VLOOKUP($D43,'[3]m glavni turnir žrebna lista'!$A$7:$R$38,4)))</f>
        <v/>
      </c>
      <c r="Y25" s="209" t="str">
        <f t="shared" si="0"/>
        <v/>
      </c>
      <c r="Z25" s="209" t="str">
        <f>IF(Y25="","",IF(AND($Q$63=1,U44=U43),30,IF(AND($Q$63=2,U44=U43),15,IF(AND($Q$63=3,U44=U43),10,""))))</f>
        <v/>
      </c>
      <c r="AA25" s="209" t="str">
        <f>IF(Z25="","",IF(AND($Q$63=1,U44=U42,U44=U43),60,IF(AND($Q$63=2,U42=U44,U44=U43),30,IF(AND($Q$63=3,U42=U44,U44=U43),20,""))))</f>
        <v/>
      </c>
      <c r="AB25" s="209" t="str">
        <f>IF(AA25="","",IF(AND($Q$63=1,U46=U42,U42=U44,U44=U43),120,IF(AND($Q$63=2,U46=U42,U42=U44,U44=U43),60,IF(AND($Q$63=3,U46=U42,U42=U44,U44=U43),40,""))))</f>
        <v/>
      </c>
      <c r="AC25" s="209" t="str">
        <f>IF(AB25="","",IF(AND($Q$63=1,$U$43=$U$44,$U$44=$U$42,$U$42=$U$46,$U$46=$U$54),120,IF(AND($Q$63=2,$U$43=$U$44,$U$44=$U$42,$U$42=$U$46,$U$46=$U$54),60,IF(AND($Q$63=3,$U$43=$U$44,$U$44=$U$42,$U$42=$U$46,$U$46=$U$54),40,""))))</f>
        <v/>
      </c>
      <c r="AD25" s="209" t="str">
        <f>IF(AC25="","",IF(AND($Q$63=1,$U$43=$U$44,$U$44=$U$42,$U$42=$U$46,$U$46=$U$54,$U$38=$U$54),120,IF(AND($Q$63=2,$U$43=$U$44,$U$44=$U$42,$U$42=$U$46,$U$46=$U$54,$U$38=$U$54),60,IF(AND($Q$63=3,$U$43=$U$44,$U$44=$U$42,$U$42=$U$46,$U$46=$U$54,$U$38=$U$54),40,""))))</f>
        <v/>
      </c>
      <c r="AE25" s="237">
        <f t="shared" si="1"/>
        <v>0</v>
      </c>
      <c r="AF25" s="186"/>
      <c r="AG25" s="238"/>
      <c r="AH25" s="238"/>
      <c r="AI25" s="238"/>
      <c r="AJ25" s="238"/>
    </row>
    <row r="26" spans="1:36" s="234" customFormat="1" ht="9.6" customHeight="1">
      <c r="A26" s="239"/>
      <c r="B26" s="240"/>
      <c r="C26" s="240"/>
      <c r="D26" s="256"/>
      <c r="E26" s="241"/>
      <c r="F26" s="241"/>
      <c r="G26" s="242"/>
      <c r="H26" s="241"/>
      <c r="I26" s="257"/>
      <c r="J26" s="243" t="s">
        <v>87</v>
      </c>
      <c r="K26" s="258"/>
      <c r="L26" s="259" t="str">
        <f>UPPER(IF(OR(K26="a",K26="as"),J24,IF(OR(K26="b",K26="bs"),J28,)))</f>
        <v/>
      </c>
      <c r="M26" s="260">
        <f>IF(OR(K26="a",K26="as"),K24,IF(OR(K26="b",K26="bs"),K28,))</f>
        <v>0</v>
      </c>
      <c r="N26" s="229"/>
      <c r="O26" s="269"/>
      <c r="P26" s="229"/>
      <c r="Q26" s="269"/>
      <c r="R26" s="233"/>
      <c r="U26" s="180" t="str">
        <f>IF(OR(K26="a",K26="as"),U24,IF(OR(K26="b",K26="bs"),U28,""))</f>
        <v/>
      </c>
      <c r="V26" s="208">
        <v>20</v>
      </c>
      <c r="W26" s="263" t="str">
        <f>UPPER(IF($D45="","",VLOOKUP($D45,'[3]m glavni turnir žrebna lista'!$A$7:$R$38,3)))</f>
        <v/>
      </c>
      <c r="X26" s="263" t="str">
        <f>PROPER(IF($D45="","",VLOOKUP($D45,'[3]m glavni turnir žrebna lista'!$A$7:$R$38,4)))</f>
        <v/>
      </c>
      <c r="Y26" s="249" t="str">
        <f t="shared" si="0"/>
        <v/>
      </c>
      <c r="Z26" s="249" t="str">
        <f>IF(Y26="","",IF(AND($Q$63=1,U45=U44),30,IF(AND($Q$63=2,U45=U44),15,IF(AND($Q$63=3,U45=U44),10,""))))</f>
        <v/>
      </c>
      <c r="AA26" s="249" t="str">
        <f>IF(Z26="","",IF(AND($Q$63=1,U45=U42,U45=U44),60,IF(AND($Q$63=2,U42=U45,U45=U44),30,IF(AND($Q$63=3,U42=U45,U45=U44),20,""))))</f>
        <v/>
      </c>
      <c r="AB26" s="249" t="str">
        <f>IF(AA26="","",IF(AND($Q$63=1,U46=U42,U42=U44,U45=U44),120,IF(AND($Q$63=2,U46=U42,U42=U44,U45=U44),60,IF(AND($Q$63=3,U46=U42,U42=U44,U45=U44),40,""))))</f>
        <v/>
      </c>
      <c r="AC26" s="249" t="str">
        <f>IF(AB26="","",IF(AND($Q$63=1,$U$45=$U$44,$U$44=$U$42,$U$42=$U$46,$U$46=$U$54),120,IF(AND($Q$63=2,$U$45=$U$44,$U$44=$U$42,$U$42=$U$46,$U$46=$U$54),60,IF(AND($Q$63=3,$U$45=$U$44,$U$44=$U$42,$U$42=$U$46,$U$46=$U$54),40,""))))</f>
        <v/>
      </c>
      <c r="AD26" s="249" t="str">
        <f>IF(AC26="","",IF(AND($Q$63=1,$U$45=$U$44,$U$44=$U$42,$U$42=$U$46,$U$46=$U$54,$U$38=$U$54),120,IF(AND($Q$63=2,$U$45=$U$44,$U$44=$U$42,$U$42=$U$46,$U$46=$U$54,$U$38=$U$54),60,IF(AND($Q$63=3,$U$45=$U$44,$U$44=$U$42,$U$42=$U$46,$U$46=$U$54,$U$38=$U$54),40,""))))</f>
        <v/>
      </c>
      <c r="AE26" s="250">
        <f t="shared" si="1"/>
        <v>0</v>
      </c>
      <c r="AF26" s="186"/>
      <c r="AG26" s="238"/>
      <c r="AH26" s="238"/>
      <c r="AI26" s="238"/>
      <c r="AJ26" s="238"/>
    </row>
    <row r="27" spans="1:36" s="234" customFormat="1" ht="9.6" customHeight="1">
      <c r="A27" s="239">
        <v>11</v>
      </c>
      <c r="B27" s="251">
        <f>IF($D27="","",VLOOKUP($D27,'[3]m glavni turnir žrebna lista'!$A$7:$R$38,17))</f>
        <v>0</v>
      </c>
      <c r="C27" s="251">
        <f>IF($D27="","",VLOOKUP($D27,'[3]m glavni turnir žrebna lista'!$A$7:$R$38,2))</f>
        <v>0</v>
      </c>
      <c r="D27" s="225">
        <v>15</v>
      </c>
      <c r="E27" s="252" t="str">
        <f>UPPER(IF($D27="","",VLOOKUP($D27,'[3]m glavni turnir žrebna lista'!$A$7:$R$38,3)))</f>
        <v>MAVER PETER</v>
      </c>
      <c r="F27" s="252" t="str">
        <f>PROPER(IF($D27="","",VLOOKUP($D27,'[3]m glavni turnir žrebna lista'!$A$7:$R$38,4)))</f>
        <v/>
      </c>
      <c r="G27" s="252"/>
      <c r="H27" s="252">
        <f>IF($D27="","",VLOOKUP($D27,'[3]m glavni turnir žrebna lista'!$A$7:$R$38,5))</f>
        <v>0</v>
      </c>
      <c r="I27" s="226">
        <f>IF($D27="","",VLOOKUP($D27,'[3]m glavni turnir žrebna lista'!$A$7:$R$38,14))</f>
        <v>0</v>
      </c>
      <c r="J27" s="227"/>
      <c r="K27" s="264"/>
      <c r="L27" s="254"/>
      <c r="M27" s="265"/>
      <c r="N27" s="229"/>
      <c r="O27" s="269"/>
      <c r="P27" s="229"/>
      <c r="Q27" s="269"/>
      <c r="R27" s="233"/>
      <c r="U27" s="180">
        <f>IF($D27="","",VLOOKUP($D27,'[3]m glavni turnir žrebna lista'!$A$7:$R$38,2))</f>
        <v>0</v>
      </c>
      <c r="V27" s="208">
        <v>21</v>
      </c>
      <c r="W27" s="208" t="str">
        <f>UPPER(IF($D47="","",VLOOKUP($D47,'[3]m glavni turnir žrebna lista'!$A$7:$R$38,3)))</f>
        <v>TRBEŽNIK MATJAŽ</v>
      </c>
      <c r="X27" s="208" t="str">
        <f>PROPER(IF($D47="","",VLOOKUP($D47,'[3]m glavni turnir žrebna lista'!$A$7:$R$38,4)))</f>
        <v/>
      </c>
      <c r="Y27" s="209" t="str">
        <f t="shared" si="0"/>
        <v/>
      </c>
      <c r="Z27" s="209" t="str">
        <f>IF(Y27="","",IF(AND($Q$63=1,U48=U47),30,IF(AND($Q$63=2,U48=U47),15,IF(AND($Q$63=3,U48=U47),10,""))))</f>
        <v/>
      </c>
      <c r="AA27" s="209" t="str">
        <f>IF(Z27="","",IF(AND($Q$63=1,U50=U48,U48=U47),60,IF(AND($Q$63=2,U50=U48,U48=U47),30,IF(AND($Q$63=3,U50=U48,U48=U47),20,""))))</f>
        <v/>
      </c>
      <c r="AB27" s="209" t="str">
        <f>IF(AA27="","",IF(AND($Q$63=1,U46=U50,U50=U48,U48=U47),120,IF(AND($Q$63=2,U46=U50,U50=U48,U48=U47),60,IF(AND($Q$63=3,U46=U50,U50=U48,U48=U47),40,""))))</f>
        <v/>
      </c>
      <c r="AC27" s="209" t="str">
        <f>IF(AB27="","",IF(AND($Q$63=1,$U$47=$U$48,$U$48=$U$50,$U$50=$U$46,$U$46=$U$54),120,IF(AND($Q$63=2,$U$47=$U$48,$U$48=$U$50,$U$50=$U$46,$U$46=$U$54),60,IF(AND($Q$63=3,$U$47=$U$48,$U$48=$U$50,$U$50=$U$46,$U$46=$U$54),40,""))))</f>
        <v/>
      </c>
      <c r="AD27" s="209" t="str">
        <f>IF(AC27="","",IF(AND($Q$63=1,$U$47=$U$48,$U$48=$U$50,$U$50=$U$46,$U$46=$U$54,$U$38=$U$54),120,IF(AND($Q$63=2,$U$47=$U$48,$U$48=$U$50,$U$50=$U$46,$U$46=$U$54,$U$38=$U$54),60,IF(AND($Q$63=3,$U$47=$U$48,$U$48=$U$50,$U$50=$U$46,$U$46=$U$54,$U$38=$U$54),40,""))))</f>
        <v/>
      </c>
      <c r="AE27" s="237">
        <f t="shared" si="1"/>
        <v>0</v>
      </c>
      <c r="AF27" s="186"/>
      <c r="AG27" s="238"/>
      <c r="AH27" s="238"/>
      <c r="AI27" s="238"/>
      <c r="AJ27" s="238"/>
    </row>
    <row r="28" spans="1:36" s="234" customFormat="1" ht="9.6" customHeight="1">
      <c r="A28" s="275"/>
      <c r="B28" s="240"/>
      <c r="C28" s="240"/>
      <c r="D28" s="256"/>
      <c r="E28" s="241"/>
      <c r="F28" s="241"/>
      <c r="G28" s="242"/>
      <c r="H28" s="243" t="s">
        <v>87</v>
      </c>
      <c r="I28" s="244" t="s">
        <v>121</v>
      </c>
      <c r="J28" s="259" t="str">
        <f>UPPER(IF(OR(I28="a",I28="as"),E27,IF(OR(I28="b",I28="bs"),E29,)))</f>
        <v>MAVER PETER</v>
      </c>
      <c r="K28" s="266">
        <f>IF(OR(I28="a",I28="as"),I27,IF(OR(I28="b",I28="bs"),I29,))</f>
        <v>0</v>
      </c>
      <c r="L28" s="227"/>
      <c r="M28" s="265"/>
      <c r="N28" s="229"/>
      <c r="O28" s="269"/>
      <c r="P28" s="229"/>
      <c r="Q28" s="269"/>
      <c r="R28" s="233"/>
      <c r="U28" s="180">
        <f>IF(OR(I28="a",I28="as"),C27,IF(OR(I28="b",I28="bs"),C29,""))</f>
        <v>0</v>
      </c>
      <c r="V28" s="208">
        <v>22</v>
      </c>
      <c r="W28" s="263" t="str">
        <f>UPPER(IF($D49="","",VLOOKUP($D49,'[3]m glavni turnir žrebna lista'!$A$7:$R$38,3)))</f>
        <v>MISAJLOVSKI JORDAN</v>
      </c>
      <c r="X28" s="263" t="str">
        <f>PROPER(IF($D49="","",VLOOKUP($D49,'[3]m glavni turnir žrebna lista'!$A$7:$R$38,4)))</f>
        <v/>
      </c>
      <c r="Y28" s="249" t="str">
        <f t="shared" si="0"/>
        <v/>
      </c>
      <c r="Z28" s="249" t="str">
        <f>IF(Y28="","",IF(AND($Q$63=1,U49=U48),30,IF(AND($Q$63=2,U49=U48),15,IF(AND($Q$63=3,U49=U48),10,""))))</f>
        <v/>
      </c>
      <c r="AA28" s="249" t="str">
        <f>IF(Z28="","",IF(AND($Q$63=1,U50=U49,U49=U48),60,IF(AND($Q$63=2,U50=U49,U49=U48),30,IF(AND($Q$63=3,U50=U49,U49=U48),20,""))))</f>
        <v/>
      </c>
      <c r="AB28" s="249" t="str">
        <f>IF(AA28="","",IF(AND($Q$63=1,U46=U50,U50=U48,U49=U48),120,IF(AND($Q$63=2,U46=U50,U50=U48,U48=U49),60,IF(AND($Q$63=3,U46=U50,U50=U48,U49=U48),40,""))))</f>
        <v/>
      </c>
      <c r="AC28" s="249" t="str">
        <f>IF(AB28="","",IF(AND($Q$63=1,$U$49=$U$48,$U$48=$U$50,$U$50=$U$46,$U$46=$U$54),120,IF(AND($Q$63=2,$U$49=$U$48,$U$48=$U$50,$U$50=$U$46,$U$46=$U$54),60,IF(AND($Q$63=3,$U$49=$U$48,$U$48=$U$50,$U$50=$U$46,$U$46=$U$54),40,""))))</f>
        <v/>
      </c>
      <c r="AD28" s="249" t="str">
        <f>IF(AC28="","",IF(AND($Q$63=1,$U$49=$U$48,$U$48=$U$50,$U$50=$U$46,$U$46=$U$54,$U$38=$U$54),120,IF(AND($Q$63=2,$U$49=$U$48,$U$48=$U$50,$U$50=$U$46,$U$46=$U$54,$U$38=$U$54),60,IF(AND($Q$63=3,$U$49=$U$48,$U$48=$U$50,$U$50=$U$46,$U$46=$U$54,$U$38=$U$54),40,""))))</f>
        <v/>
      </c>
      <c r="AE28" s="250">
        <f t="shared" si="1"/>
        <v>0</v>
      </c>
      <c r="AF28" s="186"/>
      <c r="AG28" s="238"/>
      <c r="AH28" s="238"/>
      <c r="AI28" s="238"/>
      <c r="AJ28" s="238"/>
    </row>
    <row r="29" spans="1:36" s="234" customFormat="1" ht="9.6" customHeight="1">
      <c r="A29" s="239">
        <v>12</v>
      </c>
      <c r="B29" s="251" t="str">
        <f>IF($D29="","",VLOOKUP($D29,'[3]m glavni turnir žrebna lista'!$A$7:$R$38,17))</f>
        <v/>
      </c>
      <c r="C29" s="251" t="str">
        <f>IF($D29="","",VLOOKUP($D29,'[3]m glavni turnir žrebna lista'!$A$7:$R$38,2))</f>
        <v/>
      </c>
      <c r="D29" s="225"/>
      <c r="E29" s="252" t="s">
        <v>3</v>
      </c>
      <c r="F29" s="252" t="str">
        <f>PROPER(IF($D29="","",VLOOKUP($D29,'[3]m glavni turnir žrebna lista'!$A$7:$R$38,4)))</f>
        <v/>
      </c>
      <c r="G29" s="252"/>
      <c r="H29" s="252" t="str">
        <f>IF($D29="","",VLOOKUP($D29,'[3]m glavni turnir žrebna lista'!$A$7:$R$38,5))</f>
        <v/>
      </c>
      <c r="I29" s="253" t="str">
        <f>IF($D29="","",VLOOKUP($D29,'[3]m glavni turnir žrebna lista'!$A$7:$R$38,14))</f>
        <v/>
      </c>
      <c r="J29" s="254"/>
      <c r="K29" s="228">
        <f>IF(OR(I29="a",I29="as"),I28,IF(OR(I29="b",I29="bs"),I30,))</f>
        <v>0</v>
      </c>
      <c r="L29" s="227"/>
      <c r="M29" s="265"/>
      <c r="N29" s="229"/>
      <c r="O29" s="269"/>
      <c r="P29" s="229"/>
      <c r="Q29" s="269"/>
      <c r="R29" s="233"/>
      <c r="U29" s="180" t="str">
        <f>IF($D29="","",VLOOKUP($D29,'[3]m glavni turnir žrebna lista'!$A$7:$R$38,2))</f>
        <v/>
      </c>
      <c r="V29" s="208">
        <v>23</v>
      </c>
      <c r="W29" s="208" t="str">
        <f>UPPER(IF($D51="","",VLOOKUP($D51,'[3]m glavni turnir žrebna lista'!$A$7:$R$38,3)))</f>
        <v/>
      </c>
      <c r="X29" s="208" t="str">
        <f>PROPER(IF($D51="","",VLOOKUP($D51,'[3]m glavni turnir žrebna lista'!$A$7:$R$38,4)))</f>
        <v/>
      </c>
      <c r="Y29" s="209" t="str">
        <f t="shared" si="0"/>
        <v/>
      </c>
      <c r="Z29" s="209" t="str">
        <f>IF(Y29="","",IF(AND($Q$63=1,U52=U51),30,IF(AND($Q$63=2,U52=U51),15,IF(AND($Q$63=3,U52=U51),10,""))))</f>
        <v/>
      </c>
      <c r="AA29" s="209" t="str">
        <f>IF(Z29="","",IF(AND($Q$63=1,U51=U50,U50=U52),60,IF(AND($Q$63=2,U51=U50,U50=U52),30,IF(AND($Q$63=3,U51=U50,U50=U52),20,""))))</f>
        <v/>
      </c>
      <c r="AB29" s="209" t="str">
        <f>IF(AA29="","",IF(AND($Q$63=1,U46=U50,U50=U52,U52=U51),120,IF(AND($Q$63=2,U46=U50,U50=U52,U52=U51),60,IF(AND($Q$63=3,U46=U50,U50=U52,U52=U51),40,""))))</f>
        <v/>
      </c>
      <c r="AC29" s="209" t="str">
        <f>IF(AB29="","",IF(AND($Q$63=1,$U$51=$U$52,$U$52=$U$50,$U$50=$U$46,$U$46=$U$54),120,IF(AND($Q$63=2,$U$51=$U$52,$U$52=$U$50,$U$50=$U$46,$U$46=$U$54),60,IF(AND($Q$63=3,$U$51=$U$52,$U$52=$U$50,$U$50=$U$46,$U$46=$U$54),40,""))))</f>
        <v/>
      </c>
      <c r="AD29" s="209" t="str">
        <f>IF(AC29="","",IF(AND($Q$63=1,$U$51=$U$52,$U$52=$U$50,$U$50=$U$46,$U$46=$U$54,$U$38=$U$54),120,IF(AND($Q$63=2,$U$51=$U$52,$U$52=$U$50,$U$50=$U$46,$U$46=$U$54,$U$38=$U$54),60,IF(AND($Q$63=3,$U$51=$U$52,$U$52=$U$50,$U$50=$U$46,$U$46=$U$54,$U$38=$U$54),40,""))))</f>
        <v/>
      </c>
      <c r="AE29" s="237">
        <f t="shared" si="1"/>
        <v>0</v>
      </c>
      <c r="AF29" s="186"/>
      <c r="AG29" s="238"/>
      <c r="AH29" s="238"/>
      <c r="AI29" s="238"/>
      <c r="AJ29" s="238"/>
    </row>
    <row r="30" spans="1:36" s="234" customFormat="1" ht="9.6" customHeight="1">
      <c r="A30" s="239"/>
      <c r="B30" s="240"/>
      <c r="C30" s="240"/>
      <c r="D30" s="256"/>
      <c r="E30" s="227"/>
      <c r="F30" s="227"/>
      <c r="G30" s="267"/>
      <c r="H30" s="268"/>
      <c r="I30" s="257"/>
      <c r="J30" s="227"/>
      <c r="K30" s="228"/>
      <c r="L30" s="243" t="s">
        <v>87</v>
      </c>
      <c r="M30" s="258"/>
      <c r="N30" s="259" t="str">
        <f>UPPER(IF(OR(M30="a",M30="as"),L26,IF(OR(M30="b",M30="bs"),L34,)))</f>
        <v/>
      </c>
      <c r="O30" s="276">
        <f>IF(OR(M30="a",M30="as"),M26,IF(OR(M30="b",M30="bs"),M34,))</f>
        <v>0</v>
      </c>
      <c r="P30" s="229"/>
      <c r="Q30" s="269"/>
      <c r="R30" s="233"/>
      <c r="U30" s="180" t="str">
        <f>IF(OR(M30="a",M30="as"),U26,IF(OR(M30="b",M30="bs"),U34,""))</f>
        <v/>
      </c>
      <c r="V30" s="208">
        <v>24</v>
      </c>
      <c r="W30" s="263" t="str">
        <f>UPPER(IF($D53="","",VLOOKUP($D53,'[3]m glavni turnir žrebna lista'!$A$7:$R$38,3)))</f>
        <v>GOLOB PETER</v>
      </c>
      <c r="X30" s="263" t="str">
        <f>PROPER(IF($D53="","",VLOOKUP($D53,'[3]m glavni turnir žrebna lista'!$A$7:$R$38,4)))</f>
        <v>3</v>
      </c>
      <c r="Y30" s="249" t="str">
        <f t="shared" si="0"/>
        <v/>
      </c>
      <c r="Z30" s="249" t="str">
        <f>IF(Y30="","",IF(AND($Q$63=1,U53=U52),30,IF(AND($Q$63=2,U53=U52),15,IF(AND($Q$63=3,U53=U52),10,""))))</f>
        <v/>
      </c>
      <c r="AA30" s="249" t="str">
        <f>IF(Z30="","",IF(AND($Q$63=1,U52=U50,U52=U53),60,IF(AND($Q$63=2,U52=U50,U52=U53),30,IF(AND($Q$63=3,U52=U50,U52=U53),20,""))))</f>
        <v/>
      </c>
      <c r="AB30" s="249" t="str">
        <f>IF(AA30="","",IF(AND($Q$63=1,U46=U50,U50=U52,U53=U52),120,IF(AND($Q$63=2,U46=U50,U50=U52,U53=U52),60,IF(AND($Q$63=3,U46=U50,U50=U52,U53=U52),40,""))))</f>
        <v/>
      </c>
      <c r="AC30" s="249" t="str">
        <f>IF(AB30="","",IF(AND($Q$63=1,$U$53=$U$52,$U$52=$U$50,$U$50=$U$46,$U$46=$U$54),120,IF(AND($Q$63=2,$U$53=$U$52,$U$52=$U$50,$U$50=$U$46,$U$46=$U$54),60,IF(AND($Q$63=3,$U$53=$U$52,$U$52=$U$50,$U$50=$U$46,$U$46=$U$54),40,""))))</f>
        <v/>
      </c>
      <c r="AD30" s="249" t="str">
        <f>IF(AC30="","",IF(AND($Q$63=1,$U$53=$U$52,$U$52=$U$50,$U$50=$U$46,$U$46=$U$54,$U$38=$U$54),120,IF(AND($Q$63=2,$U$53=$U$52,$U$52=$U$50,$U$50=$U$46,$U$46=$U$54,$U$38=$U$54),60,IF(AND($Q$63=3,$U$53=$U$52,$U$52=$U$50,$U$50=$U$46,$U$46=$U$54,$U$38=$U$54),40,""))))</f>
        <v/>
      </c>
      <c r="AE30" s="250">
        <f t="shared" si="1"/>
        <v>0</v>
      </c>
      <c r="AF30" s="186"/>
      <c r="AG30" s="238"/>
      <c r="AH30" s="238"/>
      <c r="AI30" s="238"/>
      <c r="AJ30" s="238"/>
    </row>
    <row r="31" spans="1:36" s="234" customFormat="1" ht="9.6" customHeight="1">
      <c r="A31" s="239">
        <v>13</v>
      </c>
      <c r="B31" s="251">
        <f>IF($D31="","",VLOOKUP($D31,'[3]m glavni turnir žrebna lista'!$A$7:$R$38,17))</f>
        <v>0</v>
      </c>
      <c r="C31" s="251">
        <f>IF($D31="","",VLOOKUP($D31,'[3]m glavni turnir žrebna lista'!$A$7:$R$38,2))</f>
        <v>0</v>
      </c>
      <c r="D31" s="225">
        <v>18</v>
      </c>
      <c r="E31" s="252" t="str">
        <f>UPPER(IF($D31="","",VLOOKUP($D31,'[3]m glavni turnir žrebna lista'!$A$7:$R$38,3)))</f>
        <v>SVOLJŠAK JANEZ</v>
      </c>
      <c r="F31" s="252" t="str">
        <f>PROPER(IF($D31="","",VLOOKUP($D31,'[3]m glavni turnir žrebna lista'!$A$7:$R$38,4)))</f>
        <v/>
      </c>
      <c r="G31" s="252"/>
      <c r="H31" s="252">
        <f>IF($D31="","",VLOOKUP($D31,'[3]m glavni turnir žrebna lista'!$A$7:$R$38,5))</f>
        <v>0</v>
      </c>
      <c r="I31" s="226">
        <f>IF($D31="","",VLOOKUP($D31,'[3]m glavni turnir žrebna lista'!$A$7:$R$38,14))</f>
        <v>0</v>
      </c>
      <c r="J31" s="227"/>
      <c r="K31" s="228"/>
      <c r="L31" s="227"/>
      <c r="M31" s="265"/>
      <c r="N31" s="254"/>
      <c r="O31" s="230"/>
      <c r="P31" s="229"/>
      <c r="Q31" s="269"/>
      <c r="R31" s="233"/>
      <c r="U31" s="180">
        <f>IF($D31="","",VLOOKUP($D31,'[3]m glavni turnir žrebna lista'!$A$7:$R$38,2))</f>
        <v>0</v>
      </c>
      <c r="V31" s="208">
        <v>25</v>
      </c>
      <c r="W31" s="208" t="str">
        <f>UPPER(IF($D55="","",VLOOKUP($D55,'[3]m glavni turnir žrebna lista'!$A$7:$R$38,3)))</f>
        <v>PERKOVIČ IGOR</v>
      </c>
      <c r="X31" s="208" t="str">
        <f>PROPER(IF($D55="","",VLOOKUP($D55,'[3]m glavni turnir žrebna lista'!$A$7:$R$38,4)))</f>
        <v>7</v>
      </c>
      <c r="Y31" s="209" t="str">
        <f t="shared" si="0"/>
        <v/>
      </c>
      <c r="Z31" s="209" t="str">
        <f>IF(Y31="","",IF(AND($Q$63=1,U56=U55),30,IF(AND($Q$63=2,U56=U55),15,IF(AND($Q$63=3,U56=U55),10,""))))</f>
        <v/>
      </c>
      <c r="AA31" s="209" t="str">
        <f>IF(Z31="","",IF(AND($Q$63=1,U55=U56,U56=U58),60,IF(AND($Q$63=2,U55=U56,U56=U58),30,IF(AND($Q$63=3,U55=U56,U56=U58),20,""))))</f>
        <v/>
      </c>
      <c r="AB31" s="209" t="str">
        <f>IF(AA31="","",IF(AND($Q$63=1,U62=U58,U58=U56,U56=U55),120,IF(AND($Q$63=2,U62=U58,U58=U56,U56=U55),60,IF(AND($Q$63=3,U62=U58,U58=U56,U56=U55),40,""))))</f>
        <v/>
      </c>
      <c r="AC31" s="209" t="str">
        <f>IF(AB31="","",IF(AND($Q$63=1,$U$55=$U$56,$U$56=$U$58,$U$58=$U$62,$U$62=$U$54),120,IF(AND($Q$63=2,$U$55=$U$56,$U$56=$U$58,$U$58=$U$62,$U$62=$U$54),60,IF(AND($Q$63=3,$U$55=$U$56,$U$56=$U$58,$U$58=$U$62,$U$62=$U$54),40,""))))</f>
        <v/>
      </c>
      <c r="AD31" s="209" t="str">
        <f>IF(AC31="","",IF(AND($Q$63=1,$U$55=$U$56,$U$56=$U$58,$U$58=$U$62,$U$62=$U$54,$U$38=$U$54),120,IF(AND($Q$63=2,$U$55=$U$56,$U$56=$U$58,$U$58=$U$62,$U$62=$U$54,$U$38=$U$54),60,IF(AND($Q$63=3,$U$55=$U$56,$U$56=$U$58,$U$58=$U$62,$U$62=$U$54,$U$38=$U$54),40,""))))</f>
        <v/>
      </c>
      <c r="AE31" s="237">
        <f t="shared" si="1"/>
        <v>0</v>
      </c>
      <c r="AF31" s="186"/>
      <c r="AG31" s="238"/>
      <c r="AH31" s="238"/>
      <c r="AI31" s="238"/>
      <c r="AJ31" s="238"/>
    </row>
    <row r="32" spans="1:36" s="234" customFormat="1" ht="9.6" customHeight="1">
      <c r="A32" s="239"/>
      <c r="B32" s="240"/>
      <c r="C32" s="240"/>
      <c r="D32" s="256"/>
      <c r="E32" s="241"/>
      <c r="F32" s="241"/>
      <c r="G32" s="242"/>
      <c r="H32" s="243" t="s">
        <v>87</v>
      </c>
      <c r="I32" s="244"/>
      <c r="J32" s="259" t="str">
        <f>UPPER(IF(OR(I32="a",I32="as"),E31,IF(OR(I32="b",I32="bs"),E33,)))</f>
        <v/>
      </c>
      <c r="K32" s="246">
        <f>IF(OR(I32="a",I32="as"),I31,IF(OR(I32="b",I32="bs"),I33,))</f>
        <v>0</v>
      </c>
      <c r="L32" s="227"/>
      <c r="M32" s="265"/>
      <c r="N32" s="229"/>
      <c r="O32" s="230"/>
      <c r="P32" s="229"/>
      <c r="Q32" s="269"/>
      <c r="R32" s="233"/>
      <c r="U32" s="180" t="str">
        <f>IF(OR(I32="a",I32="as"),C31,IF(OR(I32="b",I32="bs"),C33,""))</f>
        <v/>
      </c>
      <c r="V32" s="208">
        <v>26</v>
      </c>
      <c r="W32" s="263" t="str">
        <f>UPPER(IF($D57="","",VLOOKUP($D57,'[3]m glavni turnir žrebna lista'!$A$7:$R$38,3)))</f>
        <v/>
      </c>
      <c r="X32" s="263" t="str">
        <f>PROPER(IF($D57="","",VLOOKUP($D57,'[3]m glavni turnir žrebna lista'!$A$7:$R$38,4)))</f>
        <v/>
      </c>
      <c r="Y32" s="249" t="str">
        <f t="shared" si="0"/>
        <v/>
      </c>
      <c r="Z32" s="249" t="str">
        <f>IF(Y32="","",IF(AND($Q$63=1,U57=U56),30,IF(AND($Q$63=2,U57=U56),15,IF(AND($Q$63=3,U57=U56),10,""))))</f>
        <v/>
      </c>
      <c r="AA32" s="249" t="str">
        <f>IF(Z32="","",IF(AND($Q$63=1,U56=U57,U57=U58),60,IF(AND($Q$63=2,U56=U57,U57=U58),30,IF(AND($Q$63=3,U56=U57,U57=U58),20,""))))</f>
        <v/>
      </c>
      <c r="AB32" s="249" t="str">
        <f>IF(AA32="","",IF(AND($Q$63=1,U62=U58,U58=U56,U56=U57),120,IF(AND($Q$63=2,U62=U58,U58=U56,U56=U57),60,IF(AND($Q$63=3,U62=U58,U58=U56,U56=U57),40,""))))</f>
        <v/>
      </c>
      <c r="AC32" s="249" t="str">
        <f>IF(AB32="","",IF(AND($Q$63=1,$U$57=$U$56,$U$56=$U$58,$U$58=$U$62,$U$62=$U$54),120,IF(AND($Q$63=2,$U$57=$U$56,$U$56=$U$58,$U$58=$U$62,$U$62=$U$54),60,IF(AND($Q$63=3,$U$57=$U$56,$U$56=$U$58,$U$58=$U$62,$U$62=$U$54),40,""))))</f>
        <v/>
      </c>
      <c r="AD32" s="249" t="str">
        <f>IF(AC32="","",IF(AND($Q$63=1,$U$57=$U$56,$U$56=$U$58,$U$58=$U$62,$U$62=$U$54,$U$38=$U$54),120,IF(AND($Q$63=2,$U$57=$U$56,$U$56=$U$58,$U$58=$U$62,$U$62=$U$54,$U$38=$U$54),60,IF(AND($Q$63=3,$U$57=$U$56,$U$56=$U$58,$U$58=$U$62,$U$62=$U$54,$U$38=$U$54),40,""))))</f>
        <v/>
      </c>
      <c r="AE32" s="250">
        <f t="shared" si="1"/>
        <v>0</v>
      </c>
      <c r="AF32" s="186"/>
      <c r="AG32" s="238"/>
      <c r="AH32" s="238"/>
      <c r="AI32" s="238"/>
      <c r="AJ32" s="238"/>
    </row>
    <row r="33" spans="1:36" s="234" customFormat="1" ht="9.6" customHeight="1">
      <c r="A33" s="239">
        <v>14</v>
      </c>
      <c r="B33" s="251">
        <f>IF($D33="","",VLOOKUP($D33,'[3]m glavni turnir žrebna lista'!$A$7:$R$38,17))</f>
        <v>0</v>
      </c>
      <c r="C33" s="251">
        <f>IF($D33="","",VLOOKUP($D33,'[3]m glavni turnir žrebna lista'!$A$7:$R$38,2))</f>
        <v>0</v>
      </c>
      <c r="D33" s="225">
        <v>17</v>
      </c>
      <c r="E33" s="252" t="str">
        <f>UPPER(IF($D33="","",VLOOKUP($D33,'[3]m glavni turnir žrebna lista'!$A$7:$R$38,3)))</f>
        <v>NOSAN ROBERT</v>
      </c>
      <c r="F33" s="252" t="str">
        <f>PROPER(IF($D33="","",VLOOKUP($D33,'[3]m glavni turnir žrebna lista'!$A$7:$R$38,4)))</f>
        <v/>
      </c>
      <c r="G33" s="252"/>
      <c r="H33" s="252">
        <f>IF($D33="","",VLOOKUP($D33,'[3]m glavni turnir žrebna lista'!$A$7:$R$38,5))</f>
        <v>0</v>
      </c>
      <c r="I33" s="253">
        <f>IF($D33="","",VLOOKUP($D33,'[3]m glavni turnir žrebna lista'!$A$7:$R$38,14))</f>
        <v>0</v>
      </c>
      <c r="J33" s="254"/>
      <c r="K33" s="255"/>
      <c r="L33" s="227"/>
      <c r="M33" s="265"/>
      <c r="N33" s="229"/>
      <c r="O33" s="230"/>
      <c r="P33" s="229"/>
      <c r="Q33" s="269"/>
      <c r="R33" s="233"/>
      <c r="U33" s="180">
        <f>IF($D33="","",VLOOKUP($D33,'[3]m glavni turnir žrebna lista'!$A$7:$R$38,2))</f>
        <v>0</v>
      </c>
      <c r="V33" s="208">
        <v>27</v>
      </c>
      <c r="W33" s="208" t="str">
        <f>UPPER(IF($D59="","",VLOOKUP($D59,'[3]m glavni turnir žrebna lista'!$A$7:$R$38,3)))</f>
        <v>BLATNIK MATJAŽ</v>
      </c>
      <c r="X33" s="208" t="str">
        <f>PROPER(IF($D59="","",VLOOKUP($D59,'[3]m glavni turnir žrebna lista'!$A$7:$R$38,4)))</f>
        <v/>
      </c>
      <c r="Y33" s="209" t="str">
        <f t="shared" si="0"/>
        <v/>
      </c>
      <c r="Z33" s="209" t="str">
        <f>IF(Y33="","",IF(AND($Q$63=1,U60=U59),30,IF(AND($Q$63=2,U60=U59),15,IF(AND($Q$63=3,U60=U59),10,""))))</f>
        <v/>
      </c>
      <c r="AA33" s="209" t="str">
        <f>IF(Z33="","",IF(AND($Q$63=1,U60=U58,U58=U59),60,IF(AND($Q$63=2,U60=U58,U58=U59),30,IF(AND($Q$63=3,U60=U58,U58=U59),20,""))))</f>
        <v/>
      </c>
      <c r="AB33" s="209" t="str">
        <f>IF(AA33="","",IF(AND($Q$63=1,U62=U58,U58=U60,U60=U59),120,IF(AND($Q$63=2,U62=U58,U58=U60,U60=U59),60,IF(AND($Q$63=3,U62=U58,U58=U60,U60=U59),40,""))))</f>
        <v/>
      </c>
      <c r="AC33" s="209" t="str">
        <f>IF(AB33="","",IF(AND($Q$63=1,$U$59=$U$60,$U$60=$U$58,$U$58=$U$62,$U$62=$U$54),120,IF(AND($Q$63=2,$U$59=$U$60,$U$60=$U$58,$U$58=$U$62,$U$62=$U$54),60,IF(AND($Q$63=3,$U$59=$U$60,$U$60=$U$58,$U$58=$U$62,$U$62=$U$54),40,""))))</f>
        <v/>
      </c>
      <c r="AD33" s="209" t="str">
        <f>IF(AC33="","",IF(AND($Q$63=1,$U$59=$U$60,$U$60=$U$58,$U$58=$U$62,$U$62=$U$54,$U$38=$U$54),120,IF(AND($Q$63=2,$U$59=$U$60,$U$60=$U$58,$U$58=$U$62,$U$62=$U$54,$U$38=$U$54),60,IF(AND($Q$63=3,$U$59=$U$60,$U$60=$U$58,$U$58=$U$62,$U$62=$U$54,$U$38=$U$54),40,""))))</f>
        <v/>
      </c>
      <c r="AE33" s="237">
        <f t="shared" si="1"/>
        <v>0</v>
      </c>
      <c r="AF33" s="186"/>
      <c r="AG33" s="238"/>
      <c r="AH33" s="238"/>
      <c r="AI33" s="238"/>
      <c r="AJ33" s="238"/>
    </row>
    <row r="34" spans="1:36" s="234" customFormat="1" ht="9.6" customHeight="1">
      <c r="A34" s="239"/>
      <c r="B34" s="240"/>
      <c r="C34" s="240"/>
      <c r="D34" s="256"/>
      <c r="E34" s="241"/>
      <c r="F34" s="241"/>
      <c r="G34" s="242"/>
      <c r="H34" s="227"/>
      <c r="I34" s="257"/>
      <c r="J34" s="243" t="s">
        <v>87</v>
      </c>
      <c r="K34" s="258"/>
      <c r="L34" s="259" t="str">
        <f>UPPER(IF(OR(K34="a",K34="as"),J32,IF(OR(K34="b",K34="bs"),J36,)))</f>
        <v/>
      </c>
      <c r="M34" s="271">
        <f>IF(OR(K34="a",K34="as"),K32,IF(OR(K34="b",K34="bs"),K36,))</f>
        <v>0</v>
      </c>
      <c r="N34" s="229"/>
      <c r="O34" s="230"/>
      <c r="P34" s="229"/>
      <c r="Q34" s="269"/>
      <c r="R34" s="233"/>
      <c r="U34" s="180" t="str">
        <f>IF(OR(K34="a",K34="as"),U32,IF(OR(K34="b",K34="bs"),U36,""))</f>
        <v/>
      </c>
      <c r="V34" s="208">
        <v>28</v>
      </c>
      <c r="W34" s="263" t="str">
        <f>UPPER(IF($D61="","",VLOOKUP($D61,'[3]m glavni turnir žrebna lista'!$A$7:$R$38,3)))</f>
        <v>BOLHAR GAŠPER</v>
      </c>
      <c r="X34" s="263" t="str">
        <f>PROPER(IF($D61="","",VLOOKUP($D61,'[3]m glavni turnir žrebna lista'!$A$7:$R$38,4)))</f>
        <v/>
      </c>
      <c r="Y34" s="249" t="str">
        <f t="shared" si="0"/>
        <v/>
      </c>
      <c r="Z34" s="249" t="str">
        <f>IF(Y34="","",IF(AND($Q$63=1,U61=U60),30,IF(AND($Q$63=2,U61=U60),15,IF(AND($Q$63=3,U61=U60),10,""))))</f>
        <v/>
      </c>
      <c r="AA34" s="249" t="str">
        <f>IF(Z34="","",IF(AND($Q$63=1,U61=U58,U58=U60),60,IF(AND($Q$63=2,U61=U58,U58=U60),30,IF(AND($Q$63=3,U61=U58,U58=U60),20,""))))</f>
        <v/>
      </c>
      <c r="AB34" s="249" t="str">
        <f>IF(AA34="","",IF(AND($Q$63=1,U62=U58,U58=U60,U60=U61),120,IF(AND($Q$63=2,U62=U58,U58=U60,U60=U61),60,IF(AND($Q$63=3,U62=U58,U58=U60,U60=U61),40,""))))</f>
        <v/>
      </c>
      <c r="AC34" s="249" t="str">
        <f>IF(AB34="","",IF(AND($Q$63=1,$U$61=$U$60,$U$60=$U$58,$U$58=$U$62,$U$62=$U$54),120,IF(AND($Q$63=2,$U$61=$U$60,$U$60=$U$58,$U$58=$U$62,$U$62=$U$54),60,IF(AND($Q$63=3,$U$61=$U$60,$U$60=$U$58,$U$58=$U$62,$U$62=$U$54),40,""))))</f>
        <v/>
      </c>
      <c r="AD34" s="249" t="str">
        <f>IF(AC34="","",IF(AND($Q$63=1,$U$61=$U$60,$U$60=$U$58,$U$58=$U$62,$U$62=$U$54,$U$38=$U$54),120,IF(AND($Q$63=2,$U$61=$U$60,$U$60=$U$58,$U$58=$U$62,$U$62=$U$54,$U$38=$U$54),60,IF(AND($Q$63=3,$U$61=$U$60,$U$60=$U$58,$U$58=$U$62,$U$62=$U$54,$U$38=$U$54),40,""))))</f>
        <v/>
      </c>
      <c r="AE34" s="250">
        <f t="shared" si="1"/>
        <v>0</v>
      </c>
      <c r="AF34" s="186"/>
      <c r="AG34" s="238"/>
      <c r="AH34" s="238"/>
      <c r="AI34" s="238"/>
      <c r="AJ34" s="238"/>
    </row>
    <row r="35" spans="1:36" s="234" customFormat="1" ht="9.6" customHeight="1">
      <c r="A35" s="239">
        <v>15</v>
      </c>
      <c r="B35" s="251" t="str">
        <f>IF($D35="","",VLOOKUP($D35,'[3]m glavni turnir žrebna lista'!$A$7:$R$38,17))</f>
        <v/>
      </c>
      <c r="C35" s="251" t="str">
        <f>IF($D35="","",VLOOKUP($D35,'[3]m glavni turnir žrebna lista'!$A$7:$R$38,2))</f>
        <v/>
      </c>
      <c r="D35" s="225"/>
      <c r="E35" s="252" t="s">
        <v>3</v>
      </c>
      <c r="F35" s="252" t="str">
        <f>PROPER(IF($D35="","",VLOOKUP($D35,'[3]m glavni turnir žrebna lista'!$A$7:$R$38,4)))</f>
        <v/>
      </c>
      <c r="G35" s="252"/>
      <c r="H35" s="252" t="str">
        <f>IF($D35="","",VLOOKUP($D35,'[3]m glavni turnir žrebna lista'!$A$7:$R$38,5))</f>
        <v/>
      </c>
      <c r="I35" s="226" t="str">
        <f>IF($D35="","",VLOOKUP($D35,'[3]m glavni turnir žrebna lista'!$A$7:$R$38,14))</f>
        <v/>
      </c>
      <c r="J35" s="227"/>
      <c r="K35" s="264"/>
      <c r="L35" s="254"/>
      <c r="M35" s="262"/>
      <c r="N35" s="229"/>
      <c r="O35" s="230"/>
      <c r="P35" s="229"/>
      <c r="Q35" s="269"/>
      <c r="R35" s="233"/>
      <c r="U35" s="180" t="str">
        <f>IF($D35="","",VLOOKUP($D35,'[3]m glavni turnir žrebna lista'!$A$7:$R$38,2))</f>
        <v/>
      </c>
      <c r="V35" s="208">
        <v>29</v>
      </c>
      <c r="W35" s="208" t="str">
        <f>UPPER(IF($D63="","",VLOOKUP($D63,'[3]m glavni turnir žrebna lista'!$A$7:$R$38,3)))</f>
        <v/>
      </c>
      <c r="X35" s="208" t="str">
        <f>PROPER(IF($D63="","",VLOOKUP($D63,'[3]m glavni turnir žrebna lista'!$A$7:$R$38,4)))</f>
        <v/>
      </c>
      <c r="Y35" s="209" t="str">
        <f t="shared" si="0"/>
        <v/>
      </c>
      <c r="Z35" s="209" t="str">
        <f>IF(Y35="","",IF(AND($Q$63=1,U64=U63),30,IF(AND($Q$63=2,U64=U63),15,IF(AND($Q$63=3,U64=U63),10,""))))</f>
        <v/>
      </c>
      <c r="AA35" s="209" t="str">
        <f>IF(Z35="","",IF(AND($Q$63=1,U63=U64,U64=U66),60,IF(AND($Q$63=2,U63=U64,U64=U66),30,IF(AND($Q$63=3,U63=U64,U64=U66),20,""))))</f>
        <v/>
      </c>
      <c r="AB35" s="209" t="str">
        <f>IF(AA35="","",IF(AND($Q$63=1,U62=U66,U66=U64,U64=U63),120,IF(AND($Q$63=2,U62=U66,U66=U64,U64=U63),60,IF(AND($Q$63=3,U62=U66,U66=U64,U64=U63),40,""))))</f>
        <v/>
      </c>
      <c r="AC35" s="209" t="str">
        <f>IF(AB35="","",IF(AND($Q$63=1,$U$63=$U$64,$U$64=$U$66,$U$66=$U$62,$U$62=$U$54),120,IF(AND($Q$63=2,$U$63=$U$64,$U$64=$U$66,$U$66=$U$62,$U$62=$U$54),60,IF(AND($Q$63=3,$U$63=$U$64,$U$64=$U$66,$U$66=$U$62,$U$62=$U$54),40,""))))</f>
        <v/>
      </c>
      <c r="AD35" s="209" t="str">
        <f>IF(AC35="","",IF(AND($Q$63=1,$U$63=$U$64,$U$64=$U$66,$U$66=$U$62,$U$62=$U$54,$U$38=$U$54),120,IF(AND($Q$63=2,$U$63=$U$64,$U$64=$U$66,$U$66=$U$62,$U$62=$U$54,$U$38=$U$54),60,IF(AND($Q$63=3,$U$63=$U$64,$U$64=$U$66,$U$66=$U$62,$U$62=$U$54,$U$38=$U$54),40,""))))</f>
        <v/>
      </c>
      <c r="AE35" s="237">
        <f t="shared" si="1"/>
        <v>0</v>
      </c>
      <c r="AF35" s="186"/>
      <c r="AG35" s="238"/>
      <c r="AH35" s="238"/>
      <c r="AI35" s="238"/>
      <c r="AJ35" s="238"/>
    </row>
    <row r="36" spans="1:36" s="234" customFormat="1" ht="9.6" customHeight="1">
      <c r="A36" s="239"/>
      <c r="B36" s="240"/>
      <c r="C36" s="240"/>
      <c r="D36" s="240"/>
      <c r="E36" s="241"/>
      <c r="F36" s="241"/>
      <c r="G36" s="242"/>
      <c r="H36" s="243" t="s">
        <v>87</v>
      </c>
      <c r="I36" s="244"/>
      <c r="J36" s="245" t="s">
        <v>128</v>
      </c>
      <c r="K36" s="266">
        <f>IF(OR(I36="a",I36="as"),I35,IF(OR(I36="b",I36="bs"),I37,))</f>
        <v>0</v>
      </c>
      <c r="L36" s="227"/>
      <c r="M36" s="262"/>
      <c r="N36" s="229"/>
      <c r="O36" s="230"/>
      <c r="P36" s="229"/>
      <c r="Q36" s="269"/>
      <c r="R36" s="233"/>
      <c r="U36" s="180" t="str">
        <f>IF(OR(I36="a",I36="as"),C35,IF(OR(I36="b",I36="bs"),C37,""))</f>
        <v/>
      </c>
      <c r="V36" s="208">
        <v>30</v>
      </c>
      <c r="W36" s="263" t="str">
        <f>UPPER(IF($D65="","",VLOOKUP($D65,'[3]m glavni turnir žrebna lista'!$A$7:$R$38,3)))</f>
        <v>BLATNIK DUŠAN</v>
      </c>
      <c r="X36" s="263" t="str">
        <f>PROPER(IF($D65="","",VLOOKUP($D65,'[3]m glavni turnir žrebna lista'!$A$7:$R$38,4)))</f>
        <v/>
      </c>
      <c r="Y36" s="249" t="str">
        <f t="shared" si="0"/>
        <v/>
      </c>
      <c r="Z36" s="249" t="str">
        <f>IF(Y36="","",IF(AND($Q$63=1,U65=U64),30,IF(AND($Q$63=2,U65=U64),15,IF(AND($Q$63=3,U65=U64),10,""))))</f>
        <v/>
      </c>
      <c r="AA36" s="249" t="str">
        <f>IF(Z36="","",IF(AND($Q$63=1,U64=U65,U65=U66),60,IF(AND($Q$63=2,U64=U65,U65=U66),30,IF(AND($Q$63=3,U64=U65,U65=U66),20,""))))</f>
        <v/>
      </c>
      <c r="AB36" s="249" t="str">
        <f>IF(AA36="","",IF(AND($Q$63=1,U62=U66,U66=U64,U64=U65),120,IF(AND($Q$63=2,U62=U66,U66=U64,U64=U65),60,IF(AND($Q$63=3,U62=U66,U66=U64,U64=U65),40,""))))</f>
        <v/>
      </c>
      <c r="AC36" s="249" t="str">
        <f>IF(AB36="","",IF(AND($Q$63=1,$U$65=$U$64,$U$64=$U$66,$U$66=$U$62,$U$62=$U$54),120,IF(AND($Q$63=2,$U$65=$U$64,$U$64=$U$66,$U$66=$U$62,$U$62=$U$54),60,IF(AND($Q$63=3,$U$65=$U$64,$U$64=$U$66,$U$66=$U$62,$U$62=$U$54),40,""))))</f>
        <v/>
      </c>
      <c r="AD36" s="249" t="str">
        <f>IF(AC36="","",IF(AND($Q$63=1,$U$65=$U$64,$U$64=$U$66,$U$66=$U$62,$U$62=$U$54,$U$38=$U$54),120,IF(AND($Q$63=2,$U$65=$U$64,$U$64=$U$66,$U$66=$U$62,$U$62=$U$54,$U$38=$U$54),60,IF(AND($Q$63=3,$U$65=$U$64,$U$64=$U$66,$U$66=$U$62,$U$62=$U$54,$U$38=$U$54),40,""))))</f>
        <v/>
      </c>
      <c r="AE36" s="250">
        <f t="shared" si="1"/>
        <v>0</v>
      </c>
      <c r="AF36" s="186"/>
      <c r="AG36" s="238"/>
      <c r="AH36" s="238"/>
      <c r="AI36" s="238"/>
      <c r="AJ36" s="238"/>
    </row>
    <row r="37" spans="1:36" s="234" customFormat="1" ht="9.6" customHeight="1">
      <c r="A37" s="223">
        <v>16</v>
      </c>
      <c r="B37" s="224">
        <f>IF($D37="","",VLOOKUP($D37,'[3]m glavni turnir žrebna lista'!$A$7:$R$38,17))</f>
        <v>0</v>
      </c>
      <c r="C37" s="224">
        <f>IF($D37="","",VLOOKUP($D37,'[3]m glavni turnir žrebna lista'!$A$7:$R$38,2))</f>
        <v>0</v>
      </c>
      <c r="D37" s="225">
        <v>5</v>
      </c>
      <c r="E37" s="224" t="str">
        <f>UPPER(IF($D37="","",VLOOKUP($D37,'[3]m glavni turnir žrebna lista'!$A$7:$R$38,3)))</f>
        <v>KUKOVICA ROBERT</v>
      </c>
      <c r="F37" s="224" t="str">
        <f>PROPER(IF($D37="","",VLOOKUP($D37,'[3]m glavni turnir žrebna lista'!$A$7:$R$38,4)))</f>
        <v>5</v>
      </c>
      <c r="G37" s="224"/>
      <c r="H37" s="224">
        <f>IF($D37="","",VLOOKUP($D37,'[3]m glavni turnir žrebna lista'!$A$7:$R$38,5))</f>
        <v>0</v>
      </c>
      <c r="I37" s="253">
        <f>IF($D37="","",VLOOKUP($D37,'[3]m glavni turnir žrebna lista'!$A$7:$R$38,14))</f>
        <v>0</v>
      </c>
      <c r="J37" s="254"/>
      <c r="K37" s="228"/>
      <c r="L37" s="227"/>
      <c r="M37" s="262"/>
      <c r="N37" s="230"/>
      <c r="O37" s="230"/>
      <c r="P37" s="229"/>
      <c r="Q37" s="269"/>
      <c r="R37" s="233"/>
      <c r="U37" s="180">
        <f>IF($D37="","",VLOOKUP($D37,'[3]m glavni turnir žrebna lista'!$A$7:$R$38,2))</f>
        <v>0</v>
      </c>
      <c r="V37" s="208">
        <v>31</v>
      </c>
      <c r="W37" s="208" t="str">
        <f>UPPER(IF($D67="","",VLOOKUP($D67,'[3]m glavni turnir žrebna lista'!$A$7:$R$38,3)))</f>
        <v/>
      </c>
      <c r="X37" s="208" t="str">
        <f>PROPER(IF($D67="","",VLOOKUP($D67,'[3]m glavni turnir žrebna lista'!$A$7:$R$38,4)))</f>
        <v/>
      </c>
      <c r="Y37" s="209" t="str">
        <f t="shared" si="0"/>
        <v/>
      </c>
      <c r="Z37" s="209" t="str">
        <f>IF(Y37="","",IF(AND($Q$63=1,U68=U67),30,IF(AND($Q$63=2,U68=U67),15,IF(AND($Q$63=3,U68=U67),10,""))))</f>
        <v/>
      </c>
      <c r="AA37" s="209" t="str">
        <f>IF(Z37="","",IF(AND($Q$63=1,U68=U66,U66=U67),60,IF(AND($Q$63=2,U68=U66,U66=U67),30,IF(AND($Q$63=3,U68=U66,U66=U67),20,""))))</f>
        <v/>
      </c>
      <c r="AB37" s="209" t="str">
        <f>IF(AA37="","",IF(AND($Q$63=1,U62=U66,U66=U68,U68=U67),120,IF(AND($Q$63=2,U62=U66,U66=U68,U68=U67),60,IF(AND($Q$63=3,U62=U66,U66=U68,U68=U67),40,""))))</f>
        <v/>
      </c>
      <c r="AC37" s="209" t="str">
        <f>IF(AB37="","",IF(AND($Q$63=1,$U$67=$U$68,$U$68=$U$66,$U$66=$U$62,$U$62=$U$54),120,IF(AND($Q$63=2,$U$67=$U$68,$U$68=$U$66,$U$66=$U$62,$U$62=$U$54),60,IF(AND($Q$63=3,$U$67=$U$68,$U$68=$U$66,$U$66=$U$62,$U$62=$U$54),40,""))))</f>
        <v/>
      </c>
      <c r="AD37" s="209" t="str">
        <f>IF(AC37="","",IF(AND($Q$63=1,$U$67=$U$68,$U$68=$U$66,$U$66=$U$62,$U$62=$U$54,$U$38=$U$54),120,IF(AND($Q$63=2,$U$67=$U$68,$U$68=$U$66,$U$66=$U$62,$U$62=$U$54,$U$38=$U$54),60,IF(AND($Q$63=3,$U$67=$U$68,$U$68=$U$66,$U$66=$U$62,$U$62=$U$54,$U$38=$U$54),40,""))))</f>
        <v/>
      </c>
      <c r="AE37" s="237">
        <f t="shared" si="1"/>
        <v>0</v>
      </c>
      <c r="AF37" s="186"/>
      <c r="AG37" s="238"/>
      <c r="AH37" s="238"/>
      <c r="AI37" s="238"/>
      <c r="AJ37" s="238"/>
    </row>
    <row r="38" spans="1:36" s="234" customFormat="1" ht="9.6" customHeight="1">
      <c r="A38" s="239"/>
      <c r="B38" s="240"/>
      <c r="C38" s="240"/>
      <c r="D38" s="240"/>
      <c r="E38" s="241"/>
      <c r="F38" s="241"/>
      <c r="G38" s="242"/>
      <c r="H38" s="241"/>
      <c r="I38" s="257"/>
      <c r="J38" s="227"/>
      <c r="K38" s="228"/>
      <c r="L38" s="227"/>
      <c r="M38" s="262"/>
      <c r="N38" s="277" t="s">
        <v>85</v>
      </c>
      <c r="O38" s="278"/>
      <c r="P38" s="259" t="str">
        <f>UPPER(IF(OR(O39="a",O39="as"),P22,IF(OR(O39="b",O39="bs"),P54,)))</f>
        <v/>
      </c>
      <c r="Q38" s="279"/>
      <c r="R38" s="233"/>
      <c r="U38" s="180" t="str">
        <f>IF(OR(O39="a",O39="as"),U22,IF(OR(O39="b",O39="bs"),U54,""))</f>
        <v/>
      </c>
      <c r="V38" s="208">
        <v>32</v>
      </c>
      <c r="W38" s="263" t="str">
        <f>UPPER(IF($D69="","",VLOOKUP($D69,'[3]m glavni turnir žrebna lista'!$A$7:$R$38,3)))</f>
        <v>LEBER SEBASTJAN</v>
      </c>
      <c r="X38" s="263" t="str">
        <f>PROPER(IF($D69="","",VLOOKUP($D69,'[3]m glavni turnir žrebna lista'!$A$7:$R$38,4)))</f>
        <v>2</v>
      </c>
      <c r="Y38" s="249" t="str">
        <f t="shared" si="0"/>
        <v/>
      </c>
      <c r="Z38" s="249" t="str">
        <f>IF(Y38="","",IF(AND($Q$63=1,U69=U68),30,IF(AND($Q$63=2,U69=U68),15,IF(AND($Q$63=3,U69=U68),10,""))))</f>
        <v/>
      </c>
      <c r="AA38" s="249" t="str">
        <f>IF(Z38="","",IF(AND($Q$63=1,U69=U66,U66=U68),60,IF(AND($Q$63=2,U69=U66,U66=U68),30,IF(AND($Q$63=3,U69=U66,U66=U68),20,""))))</f>
        <v/>
      </c>
      <c r="AB38" s="249" t="str">
        <f>IF(AA38="","",IF(AND($Q$63=1,U62=U66,U66=U68,U68=U69),120,IF(AND($Q$63=2,U62=U66,U66=U68,U68=U69),60,IF(AND($Q$63=3,U62=U66,U66=U68,U68=U69),40,""))))</f>
        <v/>
      </c>
      <c r="AC38" s="249" t="str">
        <f>IF(AB38="","",IF(AND($Q$63=1,$U$69=$U$68,$U$68=$U$66,$U$66=$U$62,$U$62=$U$54),120,IF(AND($Q$63=2,$U$69=$U$68,$U$68=$U$66,$U$66=$U$62,$U$62=$U$54),60,IF(AND($Q$63=3,$U$69=$U$68,$U$68=$U$66,$U$66=$U$62,$U$62=$U$54),40,""))))</f>
        <v/>
      </c>
      <c r="AD38" s="249" t="str">
        <f>IF(AC38="","",IF(AND($Q$63=1,$U$69=$U$68,$U$68=$U$66,$U$66=$U$62,$U$62=$U$54,$U$38=$U$54),120,IF(AND($Q$63=2,$U$69=$U$68,$U$68=$U$66,$U$66=$U$62,$U$62=$U$54,$U$38=$U$54),60,IF(AND($Q$63=3,$U$69=$U$68,$U$68=$U$66,$U$66=$U$62,$U$62=$U$54,$U$38=$U$54),40,""))))</f>
        <v/>
      </c>
      <c r="AE38" s="250">
        <f t="shared" si="1"/>
        <v>0</v>
      </c>
      <c r="AF38" s="186"/>
      <c r="AG38" s="238"/>
      <c r="AH38" s="238"/>
      <c r="AI38" s="238"/>
      <c r="AJ38" s="238"/>
    </row>
    <row r="39" spans="1:36" s="234" customFormat="1" ht="9.6" customHeight="1">
      <c r="A39" s="223">
        <v>17</v>
      </c>
      <c r="B39" s="224">
        <f>IF($D39="","",VLOOKUP($D39,'[3]m glavni turnir žrebna lista'!$A$7:$R$38,17))</f>
        <v>0</v>
      </c>
      <c r="C39" s="224">
        <f>IF($D39="","",VLOOKUP($D39,'[3]m glavni turnir žrebna lista'!$A$7:$R$38,2))</f>
        <v>0</v>
      </c>
      <c r="D39" s="225">
        <v>6</v>
      </c>
      <c r="E39" s="224" t="str">
        <f>UPPER(IF($D39="","",VLOOKUP($D39,'[3]m glavni turnir žrebna lista'!$A$7:$R$38,3)))</f>
        <v>RAGUŽ DRAGAN</v>
      </c>
      <c r="F39" s="224" t="str">
        <f>PROPER(IF($D39="","",VLOOKUP($D39,'[3]m glavni turnir žrebna lista'!$A$7:$R$38,4)))</f>
        <v>6</v>
      </c>
      <c r="G39" s="224"/>
      <c r="H39" s="224">
        <f>IF($D39="","",VLOOKUP($D39,'[3]m glavni turnir žrebna lista'!$A$7:$R$38,5))</f>
        <v>0</v>
      </c>
      <c r="I39" s="226">
        <f>IF($D39="","",VLOOKUP($D39,'[3]m glavni turnir žrebna lista'!$A$7:$R$38,14))</f>
        <v>0</v>
      </c>
      <c r="J39" s="227"/>
      <c r="K39" s="228"/>
      <c r="L39" s="227"/>
      <c r="M39" s="262"/>
      <c r="N39" s="243" t="s">
        <v>87</v>
      </c>
      <c r="O39" s="280"/>
      <c r="P39" s="254"/>
      <c r="Q39" s="269"/>
      <c r="R39" s="233"/>
      <c r="U39" s="180">
        <f>IF($D39="","",VLOOKUP($D39,'[3]m glavni turnir žrebna lista'!$A$7:$R$38,2))</f>
        <v>0</v>
      </c>
      <c r="V39" s="238"/>
      <c r="W39" s="238"/>
      <c r="X39" s="238"/>
      <c r="Y39" s="184">
        <f>COUNTIF(Y7:Y38,"&gt;0")</f>
        <v>0</v>
      </c>
      <c r="Z39" s="184">
        <f aca="true" t="shared" si="2" ref="Z39:AE39">COUNTIF(Z7:Z38,"&gt;0")</f>
        <v>0</v>
      </c>
      <c r="AA39" s="184">
        <f t="shared" si="2"/>
        <v>0</v>
      </c>
      <c r="AB39" s="184">
        <f t="shared" si="2"/>
        <v>0</v>
      </c>
      <c r="AC39" s="184">
        <f t="shared" si="2"/>
        <v>0</v>
      </c>
      <c r="AD39" s="184">
        <f t="shared" si="2"/>
        <v>0</v>
      </c>
      <c r="AE39" s="184">
        <f t="shared" si="2"/>
        <v>0</v>
      </c>
      <c r="AF39" s="186"/>
      <c r="AG39" s="238"/>
      <c r="AH39" s="238"/>
      <c r="AI39" s="238"/>
      <c r="AJ39" s="238"/>
    </row>
    <row r="40" spans="1:36" s="234" customFormat="1" ht="9.6" customHeight="1">
      <c r="A40" s="239"/>
      <c r="B40" s="240"/>
      <c r="C40" s="240"/>
      <c r="D40" s="240"/>
      <c r="E40" s="241"/>
      <c r="F40" s="241"/>
      <c r="G40" s="242"/>
      <c r="H40" s="243" t="s">
        <v>87</v>
      </c>
      <c r="I40" s="244" t="s">
        <v>121</v>
      </c>
      <c r="J40" s="245" t="str">
        <f>UPPER(IF(OR(I40="a",I40="as"),E39,IF(OR(I40="b",I40="bs"),E41,)))</f>
        <v>RAGUŽ DRAGAN</v>
      </c>
      <c r="K40" s="246">
        <f>IF(OR(I40="a",I40="as"),I39,IF(OR(I40="b",I40="bs"),I41,))</f>
        <v>0</v>
      </c>
      <c r="L40" s="227"/>
      <c r="M40" s="262"/>
      <c r="N40" s="229"/>
      <c r="O40" s="230"/>
      <c r="P40" s="229"/>
      <c r="Q40" s="269"/>
      <c r="R40" s="233"/>
      <c r="U40" s="180">
        <f>IF(OR(I40="a",I40="as"),C39,IF(OR(I40="b",I40="bs"),C41,""))</f>
        <v>0</v>
      </c>
      <c r="V40" s="238"/>
      <c r="W40" s="238"/>
      <c r="X40" s="238"/>
      <c r="Y40" s="238"/>
      <c r="Z40" s="238"/>
      <c r="AA40" s="238"/>
      <c r="AB40" s="238"/>
      <c r="AC40" s="238"/>
      <c r="AD40" s="238"/>
      <c r="AE40" s="238"/>
      <c r="AF40" s="186"/>
      <c r="AG40" s="238"/>
      <c r="AH40" s="238"/>
      <c r="AI40" s="238"/>
      <c r="AJ40" s="238"/>
    </row>
    <row r="41" spans="1:36" s="234" customFormat="1" ht="9.6" customHeight="1">
      <c r="A41" s="239">
        <v>18</v>
      </c>
      <c r="B41" s="251" t="str">
        <f>IF($D41="","",VLOOKUP($D41,'[3]m glavni turnir žrebna lista'!$A$7:$R$38,17))</f>
        <v/>
      </c>
      <c r="C41" s="251" t="str">
        <f>IF($D41="","",VLOOKUP($D41,'[3]m glavni turnir žrebna lista'!$A$7:$R$38,2))</f>
        <v/>
      </c>
      <c r="D41" s="225"/>
      <c r="E41" s="252" t="s">
        <v>3</v>
      </c>
      <c r="F41" s="252" t="str">
        <f>PROPER(IF($D41="","",VLOOKUP($D41,'[3]m glavni turnir žrebna lista'!$A$7:$R$38,4)))</f>
        <v/>
      </c>
      <c r="G41" s="252"/>
      <c r="H41" s="252" t="str">
        <f>IF($D41="","",VLOOKUP($D41,'[3]m glavni turnir žrebna lista'!$A$7:$R$38,5))</f>
        <v/>
      </c>
      <c r="I41" s="253" t="str">
        <f>IF($D41="","",VLOOKUP($D41,'[3]m glavni turnir žrebna lista'!$A$7:$R$38,14))</f>
        <v/>
      </c>
      <c r="J41" s="254"/>
      <c r="K41" s="255"/>
      <c r="L41" s="227"/>
      <c r="M41" s="262"/>
      <c r="N41" s="229"/>
      <c r="O41" s="230"/>
      <c r="P41" s="229"/>
      <c r="Q41" s="269"/>
      <c r="R41" s="233"/>
      <c r="U41" s="180" t="str">
        <f>IF($D41="","",VLOOKUP($D41,'[3]m glavni turnir žrebna lista'!$A$7:$R$38,2))</f>
        <v/>
      </c>
      <c r="V41" s="525" t="s">
        <v>93</v>
      </c>
      <c r="W41" s="525"/>
      <c r="X41" s="525"/>
      <c r="Y41" s="525"/>
      <c r="Z41" s="525"/>
      <c r="AA41" s="281"/>
      <c r="AB41" s="281"/>
      <c r="AC41" s="281"/>
      <c r="AD41" s="281"/>
      <c r="AE41" s="282"/>
      <c r="AF41" s="283"/>
      <c r="AG41" s="284" t="s">
        <v>94</v>
      </c>
      <c r="AH41" s="283"/>
      <c r="AI41" s="283"/>
      <c r="AJ41" s="283"/>
    </row>
    <row r="42" spans="1:36" s="234" customFormat="1" ht="9.6" customHeight="1">
      <c r="A42" s="239"/>
      <c r="B42" s="240"/>
      <c r="C42" s="240"/>
      <c r="D42" s="256"/>
      <c r="E42" s="241"/>
      <c r="F42" s="241"/>
      <c r="G42" s="242"/>
      <c r="H42" s="241"/>
      <c r="I42" s="257"/>
      <c r="J42" s="243" t="s">
        <v>87</v>
      </c>
      <c r="K42" s="258"/>
      <c r="L42" s="259" t="str">
        <f>UPPER(IF(OR(K42="a",K42="as"),J40,IF(OR(K42="b",K42="bs"),J44,)))</f>
        <v/>
      </c>
      <c r="M42" s="260">
        <f>IF(OR(K42="a",K42="as"),K40,IF(OR(K42="b",K42="bs"),K44,))</f>
        <v>0</v>
      </c>
      <c r="N42" s="229"/>
      <c r="O42" s="230"/>
      <c r="P42" s="229"/>
      <c r="Q42" s="269"/>
      <c r="R42" s="233"/>
      <c r="U42" s="180" t="str">
        <f>IF(OR(K42="a",K42="as"),U40,IF(OR(K42="b",K42="bs"),U44,""))</f>
        <v/>
      </c>
      <c r="V42" s="283"/>
      <c r="W42" s="285"/>
      <c r="X42" s="286"/>
      <c r="Y42" s="281"/>
      <c r="Z42" s="281"/>
      <c r="AA42" s="281"/>
      <c r="AB42" s="281"/>
      <c r="AC42" s="281"/>
      <c r="AD42" s="281"/>
      <c r="AE42" s="282"/>
      <c r="AF42" s="283"/>
      <c r="AG42" s="283"/>
      <c r="AH42" s="283"/>
      <c r="AI42" s="283"/>
      <c r="AJ42" s="283"/>
    </row>
    <row r="43" spans="1:36" s="234" customFormat="1" ht="9.6" customHeight="1">
      <c r="A43" s="239">
        <v>19</v>
      </c>
      <c r="B43" s="251">
        <f>IF($D43="","",VLOOKUP($D43,'[3]m glavni turnir žrebna lista'!$A$7:$R$38,17))</f>
        <v>0</v>
      </c>
      <c r="C43" s="251">
        <f>IF($D43="","",VLOOKUP($D43,'[3]m glavni turnir žrebna lista'!$A$7:$R$38,2))</f>
        <v>0</v>
      </c>
      <c r="D43" s="225">
        <v>12</v>
      </c>
      <c r="E43" s="252" t="str">
        <f>UPPER(IF($D43="","",VLOOKUP($D43,'[3]m glavni turnir žrebna lista'!$A$7:$R$38,3)))</f>
        <v>ERŽEN MATEJ</v>
      </c>
      <c r="F43" s="252" t="str">
        <f>PROPER(IF($D43="","",VLOOKUP($D43,'[3]m glavni turnir žrebna lista'!$A$7:$R$38,4)))</f>
        <v/>
      </c>
      <c r="G43" s="252"/>
      <c r="H43" s="252">
        <f>IF($D43="","",VLOOKUP($D43,'[3]m glavni turnir žrebna lista'!$A$7:$R$38,5))</f>
        <v>0</v>
      </c>
      <c r="I43" s="226">
        <f>IF($D43="","",VLOOKUP($D43,'[3]m glavni turnir žrebna lista'!$A$7:$R$38,14))</f>
        <v>0</v>
      </c>
      <c r="J43" s="227"/>
      <c r="K43" s="264"/>
      <c r="L43" s="254"/>
      <c r="M43" s="265"/>
      <c r="N43" s="229"/>
      <c r="O43" s="230"/>
      <c r="P43" s="229"/>
      <c r="Q43" s="269"/>
      <c r="R43" s="233"/>
      <c r="U43" s="180">
        <f>IF($D43="","",VLOOKUP($D43,'[3]m glavni turnir žrebna lista'!$A$7:$R$38,2))</f>
        <v>0</v>
      </c>
      <c r="V43" s="287" t="s">
        <v>81</v>
      </c>
      <c r="W43" s="285" t="s">
        <v>75</v>
      </c>
      <c r="X43" s="285" t="s">
        <v>76</v>
      </c>
      <c r="Y43" s="281" t="s">
        <v>82</v>
      </c>
      <c r="Z43" s="281" t="s">
        <v>83</v>
      </c>
      <c r="AA43" s="281" t="s">
        <v>78</v>
      </c>
      <c r="AB43" s="281" t="s">
        <v>79</v>
      </c>
      <c r="AC43" s="281" t="s">
        <v>80</v>
      </c>
      <c r="AD43" s="281"/>
      <c r="AE43" s="288" t="s">
        <v>86</v>
      </c>
      <c r="AF43" s="283"/>
      <c r="AG43" s="285" t="s">
        <v>75</v>
      </c>
      <c r="AH43" s="285" t="s">
        <v>76</v>
      </c>
      <c r="AI43" s="285" t="s">
        <v>66</v>
      </c>
      <c r="AJ43" s="284" t="s">
        <v>86</v>
      </c>
    </row>
    <row r="44" spans="1:36" s="234" customFormat="1" ht="9.6" customHeight="1">
      <c r="A44" s="239"/>
      <c r="B44" s="240"/>
      <c r="C44" s="240"/>
      <c r="D44" s="256"/>
      <c r="E44" s="241"/>
      <c r="F44" s="241"/>
      <c r="G44" s="242"/>
      <c r="H44" s="243" t="s">
        <v>87</v>
      </c>
      <c r="I44" s="244" t="s">
        <v>121</v>
      </c>
      <c r="J44" s="259" t="str">
        <f>UPPER(IF(OR(I44="a",I44="as"),E43,IF(OR(I44="b",I44="bs"),E45,)))</f>
        <v>ERŽEN MATEJ</v>
      </c>
      <c r="K44" s="266">
        <f>IF(OR(I44="a",I44="as"),I43,IF(OR(I44="b",I44="bs"),I45,))</f>
        <v>0</v>
      </c>
      <c r="L44" s="227"/>
      <c r="M44" s="265"/>
      <c r="N44" s="229"/>
      <c r="O44" s="230"/>
      <c r="P44" s="229"/>
      <c r="Q44" s="269"/>
      <c r="R44" s="233"/>
      <c r="S44" s="289"/>
      <c r="T44" s="290"/>
      <c r="U44" s="291">
        <f>IF(OR(I44="a",I44="as"),C43,IF(OR(I44="b",I44="bs"),C45,""))</f>
        <v>0</v>
      </c>
      <c r="V44" s="285"/>
      <c r="W44" s="285"/>
      <c r="X44" s="285"/>
      <c r="Y44" s="281"/>
      <c r="Z44" s="281"/>
      <c r="AA44" s="281"/>
      <c r="AB44" s="281"/>
      <c r="AC44" s="281"/>
      <c r="AD44" s="281"/>
      <c r="AE44" s="292"/>
      <c r="AF44" s="283"/>
      <c r="AG44" s="283"/>
      <c r="AH44" s="283"/>
      <c r="AI44" s="283"/>
      <c r="AJ44" s="293"/>
    </row>
    <row r="45" spans="1:36" s="234" customFormat="1" ht="9.6" customHeight="1">
      <c r="A45" s="239">
        <v>20</v>
      </c>
      <c r="B45" s="251" t="str">
        <f>IF($D45="","",VLOOKUP($D45,'[3]m glavni turnir žrebna lista'!$A$7:$R$38,17))</f>
        <v/>
      </c>
      <c r="C45" s="251" t="str">
        <f>IF($D45="","",VLOOKUP($D45,'[3]m glavni turnir žrebna lista'!$A$7:$R$38,2))</f>
        <v/>
      </c>
      <c r="D45" s="225"/>
      <c r="E45" s="252" t="s">
        <v>3</v>
      </c>
      <c r="F45" s="252" t="str">
        <f>PROPER(IF($D45="","",VLOOKUP($D45,'[3]m glavni turnir žrebna lista'!$A$7:$R$38,4)))</f>
        <v/>
      </c>
      <c r="G45" s="252"/>
      <c r="H45" s="252" t="str">
        <f>IF($D45="","",VLOOKUP($D45,'[3]m glavni turnir žrebna lista'!$A$7:$R$38,5))</f>
        <v/>
      </c>
      <c r="I45" s="253" t="str">
        <f>IF($D45="","",VLOOKUP($D45,'[3]m glavni turnir žrebna lista'!$A$7:$R$38,14))</f>
        <v/>
      </c>
      <c r="J45" s="254"/>
      <c r="K45" s="228"/>
      <c r="L45" s="227"/>
      <c r="M45" s="265"/>
      <c r="N45" s="229"/>
      <c r="O45" s="230"/>
      <c r="P45" s="229"/>
      <c r="Q45" s="269"/>
      <c r="R45" s="233"/>
      <c r="S45" s="290"/>
      <c r="T45" s="290"/>
      <c r="U45" s="291" t="str">
        <f>IF($D45="","",VLOOKUP($D45,'[3]m glavni turnir žrebna lista'!$A$7:$R$38,2))</f>
        <v/>
      </c>
      <c r="V45" s="285">
        <v>1</v>
      </c>
      <c r="W45" s="294" t="str">
        <f>UPPER(IF($D$7="","",VLOOKUP($D$7,'[3]m glavni turnir žrebna lista'!$A$7:$R$38,3)))</f>
        <v>KOMAR TONE</v>
      </c>
      <c r="X45" s="285" t="str">
        <f>PROPER(IF($D$7="","",VLOOKUP($D$7,'[3]m glavni turnir žrebna lista'!$A$7:$R$38,4)))</f>
        <v>1</v>
      </c>
      <c r="Y45" s="295" t="str">
        <f>IF($W$45="","",IF($U$7&lt;&gt;$U$8,"",IF($J$9="bb",1,IF($J$9="","0",$I$9))))</f>
        <v>0</v>
      </c>
      <c r="Z45" s="281" t="str">
        <f>IF($W$45="","",IF($U$10&lt;&gt;$U$7,"",IF($L$11="bb",1,IF($L$11="","0",$K$12))))</f>
        <v/>
      </c>
      <c r="AA45" s="295" t="str">
        <f>IF($W$45="","",IF($U$14&lt;&gt;$U$7,"",IF($N$15="bb",1,IF($N$15="","0",$M$18))))</f>
        <v/>
      </c>
      <c r="AB45" s="295" t="str">
        <f>IF($W$45="","",IF($U$22&lt;&gt;$U$7,"",IF($P$23="bb",1,IF($P$23="","0",$O$30))))</f>
        <v/>
      </c>
      <c r="AC45" s="296" t="str">
        <f>IF($W$45="","",IF($U$38&lt;&gt;$U$7,"",IF($P$39="bb",1,IF($P$39="","0",$Q$54))))</f>
        <v/>
      </c>
      <c r="AD45" s="281"/>
      <c r="AE45" s="292">
        <f>IF($C$2="B turnir",SUM(Y45:AD45)*0.1,SUM(Y45:AD45))</f>
        <v>0</v>
      </c>
      <c r="AF45" s="283">
        <f>IF($C7="","",'m glavni 45 +'!$C$7)</f>
        <v>0</v>
      </c>
      <c r="AG45" s="285" t="str">
        <f>UPPER(IF($D$7="","",VLOOKUP($D$7,'[3]m glavni turnir žrebna lista'!$A$7:$R$38,3)))</f>
        <v>KOMAR TONE</v>
      </c>
      <c r="AH45" s="285" t="str">
        <f>PROPER(IF($D$7="","",VLOOKUP($D$7,'[3]m glavni turnir žrebna lista'!$A$7:$R$38,4)))</f>
        <v>1</v>
      </c>
      <c r="AI45" s="285" t="str">
        <f>UPPER(IF($D$7="","",VLOOKUP($D$7,'[3]m glavni turnir žrebna lista'!$A$7:$R$38,5)))</f>
        <v/>
      </c>
      <c r="AJ45" s="292">
        <f>SUM(AE7,AE45)</f>
        <v>0</v>
      </c>
    </row>
    <row r="46" spans="1:36" s="234" customFormat="1" ht="9.6" customHeight="1">
      <c r="A46" s="239"/>
      <c r="B46" s="240"/>
      <c r="C46" s="240"/>
      <c r="D46" s="256"/>
      <c r="E46" s="227"/>
      <c r="F46" s="227"/>
      <c r="G46" s="267"/>
      <c r="H46" s="268"/>
      <c r="I46" s="257"/>
      <c r="J46" s="227"/>
      <c r="K46" s="228"/>
      <c r="L46" s="243" t="s">
        <v>87</v>
      </c>
      <c r="M46" s="258"/>
      <c r="N46" s="259" t="str">
        <f>UPPER(IF(OR(M46="a",M46="as"),L42,IF(OR(M46="b",M46="bs"),L50,)))</f>
        <v/>
      </c>
      <c r="O46" s="297">
        <f>IF(OR(M46="a",M46="as"),M42,IF(OR(M46="b",M46="bs"),M50,))</f>
        <v>0</v>
      </c>
      <c r="P46" s="229"/>
      <c r="Q46" s="269"/>
      <c r="R46" s="233"/>
      <c r="S46" s="298"/>
      <c r="T46" s="290"/>
      <c r="U46" s="291" t="str">
        <f>IF(OR(M46="a",M46="as"),U42,IF(OR(M46="b",M46="bs"),U50,""))</f>
        <v/>
      </c>
      <c r="V46" s="285">
        <v>2</v>
      </c>
      <c r="W46" s="285" t="str">
        <f>UPPER(IF($D$9="","",VLOOKUP($D$9,'[3]m glavni turnir žrebna lista'!$A$7:$R$38,3)))</f>
        <v/>
      </c>
      <c r="X46" s="285" t="str">
        <f>PROPER(IF($D$9="","",VLOOKUP($D$9,'[3]m glavni turnir žrebna lista'!$A$7:$R$38,4)))</f>
        <v/>
      </c>
      <c r="Y46" s="281" t="str">
        <f>IF(W46="","",IF($U$9&lt;&gt;$U$8,"",IF($J$9="bb",1,IF($J$9="","0",$I$7))))</f>
        <v/>
      </c>
      <c r="Z46" s="281" t="str">
        <f>IF($W$45="","",IF($U$10&lt;&gt;$U$9,"",IF($L$11="bb",1,IF($L$11="","0",$K$12))))</f>
        <v>0</v>
      </c>
      <c r="AA46" s="281" t="str">
        <f>IF($W$45="","",IF($U$14&lt;&gt;$U$9,"",IF($N$15="bb",1,IF($N$15="","0",$M$18))))</f>
        <v>0</v>
      </c>
      <c r="AB46" s="281" t="str">
        <f>IF($W$45="","",IF($U$22&lt;&gt;$U$9,"",IF($P$23="bb",1,IF($P$23="","0",$O$30))))</f>
        <v>0</v>
      </c>
      <c r="AC46" s="281" t="str">
        <f>IF($W$45="","",IF($U$38&lt;&gt;$U$9,"",IF($P$39="bb",1,IF($P$39="","0",$Q$54))))</f>
        <v>0</v>
      </c>
      <c r="AD46" s="281"/>
      <c r="AE46" s="292">
        <f aca="true" t="shared" si="3" ref="AE46:AE76">IF($C$2="B turnir",SUM(Y46:AD46)*0.1,SUM(Y46:AD46))</f>
        <v>0</v>
      </c>
      <c r="AF46" s="283" t="str">
        <f>IF($C9="","",'m glavni 45 +'!$C$9)</f>
        <v/>
      </c>
      <c r="AG46" s="285" t="str">
        <f>UPPER(IF($D$9="","",VLOOKUP($D$9,'[3]m glavni turnir žrebna lista'!$A$7:$R$38,3)))</f>
        <v/>
      </c>
      <c r="AH46" s="285" t="str">
        <f>PROPER(IF($D$9="","",VLOOKUP($D$9,'[3]m glavni turnir žrebna lista'!$A$7:$R$38,4)))</f>
        <v/>
      </c>
      <c r="AI46" s="285" t="str">
        <f>UPPER(IF($D$9="","",VLOOKUP($D$9,'[3]m glavni turnir žrebna lista'!$A$7:$R$38,5)))</f>
        <v/>
      </c>
      <c r="AJ46" s="292">
        <f>SUM(AE8,AE46)</f>
        <v>0</v>
      </c>
    </row>
    <row r="47" spans="1:36" s="234" customFormat="1" ht="9.6" customHeight="1">
      <c r="A47" s="239">
        <v>21</v>
      </c>
      <c r="B47" s="251">
        <f>IF($D47="","",VLOOKUP($D47,'[3]m glavni turnir žrebna lista'!$A$7:$R$38,17))</f>
        <v>0</v>
      </c>
      <c r="C47" s="251">
        <f>IF($D47="","",VLOOKUP($D47,'[3]m glavni turnir žrebna lista'!$A$7:$R$38,2))</f>
        <v>0</v>
      </c>
      <c r="D47" s="225">
        <v>20</v>
      </c>
      <c r="E47" s="252" t="str">
        <f>UPPER(IF($D47="","",VLOOKUP($D47,'[3]m glavni turnir žrebna lista'!$A$7:$R$38,3)))</f>
        <v>TRBEŽNIK MATJAŽ</v>
      </c>
      <c r="F47" s="252" t="str">
        <f>PROPER(IF($D47="","",VLOOKUP($D47,'[3]m glavni turnir žrebna lista'!$A$7:$R$38,4)))</f>
        <v/>
      </c>
      <c r="G47" s="252"/>
      <c r="H47" s="252">
        <f>IF($D47="","",VLOOKUP($D47,'[3]m glavni turnir žrebna lista'!$A$7:$R$38,5))</f>
        <v>0</v>
      </c>
      <c r="I47" s="226">
        <f>IF($D47="","",VLOOKUP($D47,'[3]m glavni turnir žrebna lista'!$A$7:$R$38,14))</f>
        <v>0</v>
      </c>
      <c r="J47" s="227"/>
      <c r="K47" s="228"/>
      <c r="L47" s="227"/>
      <c r="M47" s="265"/>
      <c r="N47" s="254"/>
      <c r="O47" s="269"/>
      <c r="P47" s="229"/>
      <c r="Q47" s="269"/>
      <c r="R47" s="233"/>
      <c r="S47" s="299"/>
      <c r="T47" s="290"/>
      <c r="U47" s="291">
        <f>IF($D47="","",VLOOKUP($D47,'[3]m glavni turnir žrebna lista'!$A$7:$R$38,2))</f>
        <v>0</v>
      </c>
      <c r="V47" s="285">
        <v>3</v>
      </c>
      <c r="W47" s="285" t="str">
        <f>UPPER(IF($D$11="","",VLOOKUP($D$11,'[3]m glavni turnir žrebna lista'!$A$7:$R$38,3)))</f>
        <v>ŠKORJANC GREGA</v>
      </c>
      <c r="X47" s="285" t="str">
        <f>PROPER(IF($D$11="","",VLOOKUP($D$11,'[3]m glavni turnir žrebna lista'!$A$7:$R$38,4)))</f>
        <v/>
      </c>
      <c r="Y47" s="281" t="str">
        <f>IF(W47="","",IF($U$11&lt;&gt;$U$12,"",IF($J$13="bb",1,IF($J$13="","0",$I$13))))</f>
        <v>0</v>
      </c>
      <c r="Z47" s="281" t="str">
        <f>IF($W$45="","",IF($U$10&lt;&gt;$U$11,"",IF($L$11="bb",1,IF($L$11="","0",$K$8))))</f>
        <v/>
      </c>
      <c r="AA47" s="281" t="str">
        <f>IF($W$45="","",IF($U$14&lt;&gt;$U$11,"",IF($N$15="bb",1,IF($N$15="","0",$M$18))))</f>
        <v/>
      </c>
      <c r="AB47" s="281" t="str">
        <f>IF($W$45="","",IF($U$22&lt;&gt;$U11,"",IF($P$23="bb",1,IF($P$23="","0",$O$30))))</f>
        <v/>
      </c>
      <c r="AC47" s="281" t="str">
        <f>IF($W$45="","",IF($U$38&lt;&gt;$U$11,"",IF($P$39="bb",1,IF($P$39="","0",$Q$54))))</f>
        <v/>
      </c>
      <c r="AD47" s="281"/>
      <c r="AE47" s="292">
        <f t="shared" si="3"/>
        <v>0</v>
      </c>
      <c r="AF47" s="283">
        <f>IF($C11="","",'m glavni 45 +'!$C$11)</f>
        <v>0</v>
      </c>
      <c r="AG47" s="285" t="str">
        <f>UPPER(IF($D$11="","",VLOOKUP($D$11,'[3]m glavni turnir žrebna lista'!$A$7:$R$38,3)))</f>
        <v>ŠKORJANC GREGA</v>
      </c>
      <c r="AH47" s="285" t="str">
        <f>PROPER(IF($D$11="","",VLOOKUP($D$11,'[3]m glavni turnir žrebna lista'!$A$7:$R$38,4)))</f>
        <v/>
      </c>
      <c r="AI47" s="285" t="str">
        <f>UPPER(IF($D$11="","",VLOOKUP($D$11,'[3]m glavni turnir žrebna lista'!$A$7:$R$38,5)))</f>
        <v/>
      </c>
      <c r="AJ47" s="292">
        <f aca="true" t="shared" si="4" ref="AJ47:AJ76">SUM(AE9,AE47)</f>
        <v>0</v>
      </c>
    </row>
    <row r="48" spans="1:36" s="234" customFormat="1" ht="9.6" customHeight="1">
      <c r="A48" s="239"/>
      <c r="B48" s="240"/>
      <c r="C48" s="240"/>
      <c r="D48" s="256"/>
      <c r="E48" s="241"/>
      <c r="F48" s="241"/>
      <c r="G48" s="242"/>
      <c r="H48" s="243" t="s">
        <v>87</v>
      </c>
      <c r="I48" s="244"/>
      <c r="J48" s="259" t="str">
        <f>UPPER(IF(OR(I48="a",I48="as"),E47,IF(OR(I48="b",I48="bs"),E49,)))</f>
        <v/>
      </c>
      <c r="K48" s="246">
        <f>IF(OR(I48="a",I48="as"),I47,IF(OR(I48="b",I48="bs"),I49,))</f>
        <v>0</v>
      </c>
      <c r="L48" s="227"/>
      <c r="M48" s="265"/>
      <c r="N48" s="229"/>
      <c r="O48" s="269"/>
      <c r="P48" s="229"/>
      <c r="Q48" s="269"/>
      <c r="R48" s="233"/>
      <c r="S48" s="299"/>
      <c r="T48" s="290"/>
      <c r="U48" s="291" t="str">
        <f>IF(OR(I48="a",I48="as"),C47,IF(OR(I48="b",I48="bs"),C49,""))</f>
        <v/>
      </c>
      <c r="V48" s="285">
        <v>4</v>
      </c>
      <c r="W48" s="285" t="str">
        <f>UPPER(IF($D$13="","",VLOOKUP($D$13,'[3]m glavni turnir žrebna lista'!$A$7:$R$38,3)))</f>
        <v/>
      </c>
      <c r="X48" s="285" t="str">
        <f>PROPER(IF($D$13="","",VLOOKUP($D$13,'[3]m glavni turnir žrebna lista'!$A$7:$R$38,4)))</f>
        <v/>
      </c>
      <c r="Y48" s="281" t="str">
        <f>IF(W48="","",IF($U$12&lt;&gt;$U$13,"",IF($J$13="bb",1,IF($J$13="","0",$I$11))))</f>
        <v/>
      </c>
      <c r="Z48" s="281" t="str">
        <f>IF($W$45="","",IF($U$10&lt;&gt;$U$13,"",IF($L$11="bb",1,IF($L$11="","0",$K$8))))</f>
        <v>0</v>
      </c>
      <c r="AA48" s="281" t="str">
        <f>IF($W$45="","",IF($U$14&lt;&gt;$U$13,"",IF($N$15="bb",1,IF($N$15="","0",$M$18))))</f>
        <v>0</v>
      </c>
      <c r="AB48" s="281" t="str">
        <f>IF($W$45="","",IF($U$22&lt;&gt;$U$13,"",IF($P$23="bb",1,IF($P$23="","0",$O$30))))</f>
        <v>0</v>
      </c>
      <c r="AC48" s="281" t="str">
        <f>IF($W$45="","",IF($U$38&lt;&gt;$U$13,"",IF($P$39="bb",1,IF($P$39="","0",$Q$54))))</f>
        <v>0</v>
      </c>
      <c r="AD48" s="281"/>
      <c r="AE48" s="292">
        <f t="shared" si="3"/>
        <v>0</v>
      </c>
      <c r="AF48" s="283" t="str">
        <f>IF($C13="","",'m glavni 45 +'!$C$13)</f>
        <v/>
      </c>
      <c r="AG48" s="285" t="str">
        <f>UPPER(IF($D$13="","",VLOOKUP($D$13,'[3]m glavni turnir žrebna lista'!$A$7:$R$38,3)))</f>
        <v/>
      </c>
      <c r="AH48" s="285" t="str">
        <f>PROPER(IF($D$13="","",VLOOKUP($D$13,'[3]m glavni turnir žrebna lista'!$A$7:$R$38,4)))</f>
        <v/>
      </c>
      <c r="AI48" s="285" t="str">
        <f>UPPER(IF($D$13="","",VLOOKUP($D$13,'[3]m glavni turnir žrebna lista'!$A$7:$R$38,5)))</f>
        <v/>
      </c>
      <c r="AJ48" s="292">
        <f t="shared" si="4"/>
        <v>0</v>
      </c>
    </row>
    <row r="49" spans="1:36" s="234" customFormat="1" ht="9.6" customHeight="1">
      <c r="A49" s="239">
        <v>22</v>
      </c>
      <c r="B49" s="251">
        <f>IF($D49="","",VLOOKUP($D49,'[3]m glavni turnir žrebna lista'!$A$7:$R$38,17))</f>
        <v>0</v>
      </c>
      <c r="C49" s="251">
        <f>IF($D49="","",VLOOKUP($D49,'[3]m glavni turnir žrebna lista'!$A$7:$R$38,2))</f>
        <v>0</v>
      </c>
      <c r="D49" s="225">
        <v>16</v>
      </c>
      <c r="E49" s="252" t="str">
        <f>UPPER(IF($D49="","",VLOOKUP($D49,'[3]m glavni turnir žrebna lista'!$A$7:$R$38,3)))</f>
        <v>MISAJLOVSKI JORDAN</v>
      </c>
      <c r="F49" s="252" t="str">
        <f>PROPER(IF($D49="","",VLOOKUP($D49,'[3]m glavni turnir žrebna lista'!$A$7:$R$38,4)))</f>
        <v/>
      </c>
      <c r="G49" s="252"/>
      <c r="H49" s="252">
        <f>IF($D49="","",VLOOKUP($D49,'[3]m glavni turnir žrebna lista'!$A$7:$R$38,5))</f>
        <v>0</v>
      </c>
      <c r="I49" s="253">
        <f>IF($D49="","",VLOOKUP($D49,'[3]m glavni turnir žrebna lista'!$A$7:$R$38,14))</f>
        <v>0</v>
      </c>
      <c r="J49" s="254"/>
      <c r="K49" s="255"/>
      <c r="L49" s="227"/>
      <c r="M49" s="265"/>
      <c r="N49" s="229"/>
      <c r="O49" s="269"/>
      <c r="P49" s="229"/>
      <c r="Q49" s="269"/>
      <c r="R49" s="233"/>
      <c r="S49" s="299"/>
      <c r="T49" s="290"/>
      <c r="U49" s="291">
        <f>IF($D49="","",VLOOKUP($D49,'[3]m glavni turnir žrebna lista'!$A$7:$R$38,2))</f>
        <v>0</v>
      </c>
      <c r="V49" s="285">
        <v>5</v>
      </c>
      <c r="W49" s="285" t="str">
        <f>UPPER(IF($D$15="","",VLOOKUP($D$15,'[3]m glavni turnir žrebna lista'!$A$7:$R$38,3)))</f>
        <v>KVAS MIHA</v>
      </c>
      <c r="X49" s="285" t="str">
        <f>PROPER(IF($D$15="","",VLOOKUP($D$15,'[3]m glavni turnir žrebna lista'!$A$7:$R$38,4)))</f>
        <v/>
      </c>
      <c r="Y49" s="281" t="str">
        <f>IF(W49="","",IF($U$16&lt;&gt;$U$15,"",IF($J$17="bb",1,IF($J$17="","0",$I$17))))</f>
        <v/>
      </c>
      <c r="Z49" s="281" t="str">
        <f>IF($W$45="","",IF($U$18&lt;&gt;$U$15,"",IF($L$19="bb",1,IF($L$19="","0",$K$20))))</f>
        <v/>
      </c>
      <c r="AA49" s="281" t="str">
        <f>IF($W$45="","",IF($U$14&lt;&gt;$U$15,"",IF($N$15="bb",1,IF($N$15="","0",$M$10))))</f>
        <v/>
      </c>
      <c r="AB49" s="281" t="str">
        <f>IF($W$45="","",IF($U$22&lt;&gt;$U$15,"",IF($P$23="bb",1,IF($P$23="","0",$O$30))))</f>
        <v/>
      </c>
      <c r="AC49" s="281" t="str">
        <f>IF($W$45="","",IF($U$38&lt;&gt;$U$15,"",IF($P$39="bb",1,IF($P$39="","0",$Q$54))))</f>
        <v/>
      </c>
      <c r="AD49" s="281"/>
      <c r="AE49" s="292">
        <f t="shared" si="3"/>
        <v>0</v>
      </c>
      <c r="AF49" s="283">
        <f>IF($C15="","",'m glavni 45 +'!$C$15)</f>
        <v>0</v>
      </c>
      <c r="AG49" s="285" t="str">
        <f>UPPER(IF($D$15="","",VLOOKUP($D$15,'[3]m glavni turnir žrebna lista'!$A$7:$R$38,3)))</f>
        <v>KVAS MIHA</v>
      </c>
      <c r="AH49" s="285" t="str">
        <f>PROPER(IF($D$15="","",VLOOKUP($D$15,'[3]m glavni turnir žrebna lista'!$A$7:$R$38,4)))</f>
        <v/>
      </c>
      <c r="AI49" s="285" t="str">
        <f>UPPER(IF($D$15="","",VLOOKUP($D$15,'[3]m glavni turnir žrebna lista'!$A$7:$R$38,5)))</f>
        <v/>
      </c>
      <c r="AJ49" s="292">
        <f t="shared" si="4"/>
        <v>0</v>
      </c>
    </row>
    <row r="50" spans="1:36" s="234" customFormat="1" ht="9.6" customHeight="1">
      <c r="A50" s="239"/>
      <c r="B50" s="240"/>
      <c r="C50" s="240"/>
      <c r="D50" s="256"/>
      <c r="E50" s="241"/>
      <c r="F50" s="241"/>
      <c r="G50" s="242"/>
      <c r="H50" s="227"/>
      <c r="I50" s="257"/>
      <c r="J50" s="243" t="s">
        <v>87</v>
      </c>
      <c r="K50" s="258"/>
      <c r="L50" s="259" t="str">
        <f>UPPER(IF(OR(K50="a",K50="as"),J48,IF(OR(K50="b",K50="bs"),J52,)))</f>
        <v/>
      </c>
      <c r="M50" s="271">
        <f>IF(OR(K50="a",K50="as"),K48,IF(OR(K50="b",K50="bs"),K52,))</f>
        <v>0</v>
      </c>
      <c r="N50" s="229"/>
      <c r="O50" s="269"/>
      <c r="P50" s="229"/>
      <c r="Q50" s="269"/>
      <c r="R50" s="233"/>
      <c r="S50" s="299"/>
      <c r="T50" s="290"/>
      <c r="U50" s="291" t="str">
        <f>IF(OR(K50="a",K50="as"),U48,IF(OR(K50="b",K50="bs"),U52,""))</f>
        <v/>
      </c>
      <c r="V50" s="285">
        <v>6</v>
      </c>
      <c r="W50" s="285" t="str">
        <f>UPPER(IF($D$17="","",VLOOKUP($D$17,'[3]m glavni turnir žrebna lista'!$A$7:$R$38,3)))</f>
        <v>HORVAT TOMI</v>
      </c>
      <c r="X50" s="285" t="str">
        <f>PROPER(IF($D$17="","",VLOOKUP($D$17,'[3]m glavni turnir žrebna lista'!$A$7:$R$38,4)))</f>
        <v/>
      </c>
      <c r="Y50" s="281" t="str">
        <f>IF(W50="","",IF($U$16&lt;&gt;$U$17,"",IF($J$17="bb",1,IF($J$17="","0",$I$15))))</f>
        <v/>
      </c>
      <c r="Z50" s="281" t="str">
        <f>IF($W$45="","",IF($U$18&lt;&gt;$U$17,"",IF($L$19="bb",1,IF($L$19="","0",$K$20))))</f>
        <v/>
      </c>
      <c r="AA50" s="281" t="str">
        <f>IF($W$45="","",IF($U$14&lt;&gt;$U$17,"",IF($N$15="bb",1,IF($N$15="","0",$M$10))))</f>
        <v/>
      </c>
      <c r="AB50" s="281" t="str">
        <f>IF($W$45="","",IF($U$22&lt;&gt;$U$17,"",IF($P$23="bb",1,IF($P$23="","0",$O$30))))</f>
        <v/>
      </c>
      <c r="AC50" s="281" t="str">
        <f>IF($W$45="","",IF($U$38&lt;&gt;$U$17,"",IF($P$39="bb",1,IF($P$39="","0",$Q$54))))</f>
        <v/>
      </c>
      <c r="AD50" s="281"/>
      <c r="AE50" s="292">
        <f t="shared" si="3"/>
        <v>0</v>
      </c>
      <c r="AF50" s="283">
        <f>IF($C17="","",'m glavni 45 +'!$C$17)</f>
        <v>0</v>
      </c>
      <c r="AG50" s="285" t="str">
        <f>UPPER(IF($D$17="","",VLOOKUP($D$17,'[3]m glavni turnir žrebna lista'!$A$7:$R$38,3)))</f>
        <v>HORVAT TOMI</v>
      </c>
      <c r="AH50" s="285" t="str">
        <f>PROPER(IF($D$17="","",VLOOKUP($D$17,'[3]m glavni turnir žrebna lista'!$A$7:$R$38,4)))</f>
        <v/>
      </c>
      <c r="AI50" s="285" t="str">
        <f>UPPER(IF($D$17="","",VLOOKUP($D$17,'[3]m glavni turnir žrebna lista'!$A$7:$R$38,5)))</f>
        <v/>
      </c>
      <c r="AJ50" s="292">
        <f t="shared" si="4"/>
        <v>0</v>
      </c>
    </row>
    <row r="51" spans="1:36" s="234" customFormat="1" ht="9.6" customHeight="1">
      <c r="A51" s="239">
        <v>23</v>
      </c>
      <c r="B51" s="251" t="str">
        <f>IF($D51="","",VLOOKUP($D51,'[3]m glavni turnir žrebna lista'!$A$7:$R$38,17))</f>
        <v/>
      </c>
      <c r="C51" s="251" t="str">
        <f>IF($D51="","",VLOOKUP($D51,'[3]m glavni turnir žrebna lista'!$A$7:$R$38,2))</f>
        <v/>
      </c>
      <c r="D51" s="225"/>
      <c r="E51" s="252" t="s">
        <v>3</v>
      </c>
      <c r="F51" s="252" t="str">
        <f>PROPER(IF($D51="","",VLOOKUP($D51,'[3]m glavni turnir žrebna lista'!$A$7:$R$38,4)))</f>
        <v/>
      </c>
      <c r="G51" s="252"/>
      <c r="H51" s="252" t="str">
        <f>IF($D51="","",VLOOKUP($D51,'[3]m glavni turnir žrebna lista'!$A$7:$R$38,5))</f>
        <v/>
      </c>
      <c r="I51" s="226" t="str">
        <f>IF($D51="","",VLOOKUP($D51,'[3]m glavni turnir žrebna lista'!$A$7:$R$38,14))</f>
        <v/>
      </c>
      <c r="J51" s="227"/>
      <c r="K51" s="264"/>
      <c r="L51" s="254"/>
      <c r="M51" s="262"/>
      <c r="N51" s="229"/>
      <c r="O51" s="269"/>
      <c r="P51" s="229"/>
      <c r="Q51" s="269"/>
      <c r="R51" s="233"/>
      <c r="S51" s="299"/>
      <c r="T51" s="290"/>
      <c r="U51" s="291" t="str">
        <f>IF($D51="","",VLOOKUP($D51,'[3]m glavni turnir žrebna lista'!$A$7:$R$38,2))</f>
        <v/>
      </c>
      <c r="V51" s="285">
        <v>7</v>
      </c>
      <c r="W51" s="285" t="str">
        <f>UPPER(IF($D$19="","",VLOOKUP($D$19,'[3]m glavni turnir žrebna lista'!$A$7:$R$38,3)))</f>
        <v/>
      </c>
      <c r="X51" s="285" t="str">
        <f>PROPER(IF($D$19="","",VLOOKUP($D$19,'[3]m glavni turnir žrebna lista'!$A$7:$R$38,4)))</f>
        <v/>
      </c>
      <c r="Y51" s="281" t="str">
        <f>IF(W51="","",IF($U$20&lt;&gt;$U$19,"",IF($J$21="bb",1,IF($J$21="","0",$I$21))))</f>
        <v/>
      </c>
      <c r="Z51" s="281" t="str">
        <f>IF($W$45="","",IF($U$18&lt;&gt;$U$19,"",IF($L$19="bb",1,IF($L$19="","0",$K$16))))</f>
        <v>0</v>
      </c>
      <c r="AA51" s="281" t="str">
        <f>IF($W$45="","",IF($U$14&lt;&gt;$U$19,"",IF($N$15="bb",1,IF($N$15="","0",$M$10))))</f>
        <v>0</v>
      </c>
      <c r="AB51" s="281" t="str">
        <f>IF($W$45="","",IF($U$22&lt;&gt;$U$19,"",IF($P$23="bb",1,IF($P$23="","0",$O$30))))</f>
        <v>0</v>
      </c>
      <c r="AC51" s="281" t="str">
        <f>IF($W$45="","",IF($U$38&lt;&gt;$U$19,"",IF($P$39="bb",1,IF($P$39="","0",$Q$54))))</f>
        <v>0</v>
      </c>
      <c r="AD51" s="281"/>
      <c r="AE51" s="292">
        <f t="shared" si="3"/>
        <v>0</v>
      </c>
      <c r="AF51" s="283" t="str">
        <f>IF($C19="","",'m glavni 45 +'!$C$19)</f>
        <v/>
      </c>
      <c r="AG51" s="285" t="str">
        <f>UPPER(IF($D$19="","",VLOOKUP($D$19,'[3]m glavni turnir žrebna lista'!$A$7:$R$38,3)))</f>
        <v/>
      </c>
      <c r="AH51" s="285" t="str">
        <f>PROPER(IF($D$19="","",VLOOKUP($D$19,'[3]m glavni turnir žrebna lista'!$A$7:$R$38,4)))</f>
        <v/>
      </c>
      <c r="AI51" s="285" t="str">
        <f>UPPER(IF($D$19="","",VLOOKUP($D$19,'[3]m glavni turnir žrebna lista'!$A$7:$R$38,5)))</f>
        <v/>
      </c>
      <c r="AJ51" s="292">
        <f t="shared" si="4"/>
        <v>0</v>
      </c>
    </row>
    <row r="52" spans="1:36" s="234" customFormat="1" ht="9.6" customHeight="1">
      <c r="A52" s="239"/>
      <c r="B52" s="240"/>
      <c r="C52" s="240"/>
      <c r="D52" s="240"/>
      <c r="E52" s="241"/>
      <c r="F52" s="241"/>
      <c r="G52" s="242"/>
      <c r="H52" s="243" t="s">
        <v>87</v>
      </c>
      <c r="I52" s="244"/>
      <c r="J52" s="245" t="s">
        <v>129</v>
      </c>
      <c r="K52" s="266">
        <f>IF(OR(I52="a",I52="as"),I51,IF(OR(I52="b",I52="bs"),I53,))</f>
        <v>0</v>
      </c>
      <c r="L52" s="227"/>
      <c r="M52" s="262"/>
      <c r="N52" s="229"/>
      <c r="O52" s="269"/>
      <c r="P52" s="229"/>
      <c r="Q52" s="269"/>
      <c r="R52" s="233"/>
      <c r="S52" s="300"/>
      <c r="U52" s="301" t="str">
        <f>IF(OR(I52="a",I52="as"),C51,IF(OR(I52="b",I52="bs"),C53,""))</f>
        <v/>
      </c>
      <c r="V52" s="285">
        <v>8</v>
      </c>
      <c r="W52" s="285" t="str">
        <f>UPPER(IF($D$21="","",VLOOKUP($D$21,'[3]m glavni turnir žrebna lista'!$A$7:$R$38,3)))</f>
        <v>MEOLIC SREČKO</v>
      </c>
      <c r="X52" s="285" t="str">
        <f>PROPER(IF($D$21="","",VLOOKUP($D$21,'[3]m glavni turnir žrebna lista'!$A$7:$R$38,4)))</f>
        <v>8</v>
      </c>
      <c r="Y52" s="281" t="str">
        <f>IF(W52="","",IF($U$20&lt;&gt;$U$21,"",IF($J$21="bb",1,IF($J$21="","0",$I$19))))</f>
        <v/>
      </c>
      <c r="Z52" s="281" t="str">
        <f>IF($W$45="","",IF($U$18&lt;&gt;$U$21,"",IF($L$19="bb",1,IF($L$19="","0",$K$16))))</f>
        <v/>
      </c>
      <c r="AA52" s="281" t="str">
        <f>IF($W$45="","",IF($U$14&lt;&gt;$U$21,"",IF($N$15="bb",1,IF($N$15="","0",$M$10))))</f>
        <v/>
      </c>
      <c r="AB52" s="281" t="str">
        <f>IF($W$45="","",IF($U$22&lt;&gt;$U$21,"",IF($P$23="bb",1,IF($P$23="","0",$O$30))))</f>
        <v/>
      </c>
      <c r="AC52" s="281" t="str">
        <f>IF($W$45="","",IF($U$38&lt;&gt;$U$21,"",IF($P$39="bb",1,IF($P$39="","0",$Q$54))))</f>
        <v/>
      </c>
      <c r="AD52" s="281"/>
      <c r="AE52" s="292">
        <f t="shared" si="3"/>
        <v>0</v>
      </c>
      <c r="AF52" s="283">
        <f>IF($C21="","",'m glavni 45 +'!$C$21)</f>
        <v>0</v>
      </c>
      <c r="AG52" s="285" t="str">
        <f>UPPER(IF($D$21="","",VLOOKUP($D$21,'[3]m glavni turnir žrebna lista'!$A$7:$R$38,3)))</f>
        <v>MEOLIC SREČKO</v>
      </c>
      <c r="AH52" s="285" t="str">
        <f>PROPER(IF($D$21="","",VLOOKUP($D$21,'[3]m glavni turnir žrebna lista'!$A$7:$R$38,4)))</f>
        <v>8</v>
      </c>
      <c r="AI52" s="285" t="str">
        <f>UPPER(IF($D$21="","",VLOOKUP($D$21,'[3]m glavni turnir žrebna lista'!$A$7:$R$38,5)))</f>
        <v/>
      </c>
      <c r="AJ52" s="292">
        <f t="shared" si="4"/>
        <v>0</v>
      </c>
    </row>
    <row r="53" spans="1:36" s="234" customFormat="1" ht="9.6" customHeight="1">
      <c r="A53" s="223">
        <v>24</v>
      </c>
      <c r="B53" s="224">
        <f>IF($D53="","",VLOOKUP($D53,'[3]m glavni turnir žrebna lista'!$A$7:$R$38,17))</f>
        <v>0</v>
      </c>
      <c r="C53" s="224">
        <f>IF($D53="","",VLOOKUP($D53,'[3]m glavni turnir žrebna lista'!$A$7:$R$38,2))</f>
        <v>0</v>
      </c>
      <c r="D53" s="225">
        <v>3</v>
      </c>
      <c r="E53" s="224" t="str">
        <f>UPPER(IF($D53="","",VLOOKUP($D53,'[3]m glavni turnir žrebna lista'!$A$7:$R$38,3)))</f>
        <v>GOLOB PETER</v>
      </c>
      <c r="F53" s="224" t="str">
        <f>PROPER(IF($D53="","",VLOOKUP($D53,'[3]m glavni turnir žrebna lista'!$A$7:$R$38,4)))</f>
        <v>3</v>
      </c>
      <c r="G53" s="224"/>
      <c r="H53" s="224">
        <f>IF($D53="","",VLOOKUP($D53,'[3]m glavni turnir žrebna lista'!$A$7:$R$38,5))</f>
        <v>0</v>
      </c>
      <c r="I53" s="253">
        <f>IF($D53="","",VLOOKUP($D53,'[3]m glavni turnir žrebna lista'!$A$7:$R$38,14))</f>
        <v>0</v>
      </c>
      <c r="J53" s="254"/>
      <c r="K53" s="228"/>
      <c r="L53" s="227"/>
      <c r="M53" s="262"/>
      <c r="N53" s="229"/>
      <c r="O53" s="269"/>
      <c r="P53" s="229"/>
      <c r="Q53" s="269"/>
      <c r="R53" s="233"/>
      <c r="S53" s="300"/>
      <c r="U53" s="180">
        <f>IF($D53="","",VLOOKUP($D53,'[3]m glavni turnir žrebna lista'!$A$7:$R$38,2))</f>
        <v>0</v>
      </c>
      <c r="V53" s="285">
        <v>9</v>
      </c>
      <c r="W53" s="285" t="str">
        <f>UPPER(IF($D$23="","",VLOOKUP($D$23,'[3]m glavni turnir žrebna lista'!$A$7:$R$38,3)))</f>
        <v>ALOJZ AŠIČ</v>
      </c>
      <c r="X53" s="285" t="str">
        <f>PROPER(IF($D$23="","",VLOOKUP($D$23,'[3]m glavni turnir žrebna lista'!$A$7:$R$38,4)))</f>
        <v>4</v>
      </c>
      <c r="Y53" s="281" t="str">
        <f>IF(W53="","",IF($U$24&lt;&gt;$U$23,"",IF($J$25="bb",1,IF($J$25="","0",$I$25))))</f>
        <v>0</v>
      </c>
      <c r="Z53" s="281" t="str">
        <f>IF($W$45="","",IF($U$26&lt;&gt;$U$23,"",IF($L$27="bb",1,IF($L$27="","0",$K$28))))</f>
        <v/>
      </c>
      <c r="AA53" s="281" t="str">
        <f>IF($W$45="","",IF($U$30&lt;&gt;$U$23,"",IF($N$31="bb",1,IF($N$31="","0",$M$34))))</f>
        <v/>
      </c>
      <c r="AB53" s="281" t="str">
        <f>IF($W$45="","",IF($U$22&lt;&gt;$U$23,"",IF($P$23="bb",1,IF($P$23="","0",$O$14))))</f>
        <v/>
      </c>
      <c r="AC53" s="281" t="str">
        <f>IF($W$45="","",IF($U$38&lt;&gt;$U$23,"",IF($P$39="bb",1,IF($P$39="","0",$Q$54))))</f>
        <v/>
      </c>
      <c r="AD53" s="281"/>
      <c r="AE53" s="292">
        <f t="shared" si="3"/>
        <v>0</v>
      </c>
      <c r="AF53" s="283">
        <f>IF($C23="","",'m glavni 45 +'!$C$23)</f>
        <v>0</v>
      </c>
      <c r="AG53" s="285" t="str">
        <f>UPPER(IF($D$23="","",VLOOKUP($D$23,'[3]m glavni turnir žrebna lista'!$A$7:$R$38,3)))</f>
        <v>ALOJZ AŠIČ</v>
      </c>
      <c r="AH53" s="285" t="str">
        <f>PROPER(IF($D$23="","",VLOOKUP($D$23,'[3]m glavni turnir žrebna lista'!$A$7:$R$38,4)))</f>
        <v>4</v>
      </c>
      <c r="AI53" s="285" t="str">
        <f>UPPER(IF($D$23="","",VLOOKUP($D$23,'[3]m glavni turnir žrebna lista'!$A$7:$R$38,5)))</f>
        <v/>
      </c>
      <c r="AJ53" s="292">
        <f t="shared" si="4"/>
        <v>0</v>
      </c>
    </row>
    <row r="54" spans="1:36" s="234" customFormat="1" ht="9.6" customHeight="1">
      <c r="A54" s="239"/>
      <c r="B54" s="240"/>
      <c r="C54" s="240"/>
      <c r="D54" s="240"/>
      <c r="E54" s="268"/>
      <c r="F54" s="268"/>
      <c r="G54" s="273"/>
      <c r="H54" s="268"/>
      <c r="I54" s="257"/>
      <c r="J54" s="227"/>
      <c r="K54" s="228"/>
      <c r="L54" s="227"/>
      <c r="M54" s="262"/>
      <c r="N54" s="243" t="s">
        <v>87</v>
      </c>
      <c r="O54" s="258"/>
      <c r="P54" s="259" t="str">
        <f>UPPER(IF(OR(O54="a",O54="as"),N46,IF(OR(O54="b",O54="bs"),N62,)))</f>
        <v/>
      </c>
      <c r="Q54" s="276">
        <f>IF(OR(O54="a",O54="as"),O46,IF(OR(O54="b",O54="bs"),O62,))</f>
        <v>0</v>
      </c>
      <c r="R54" s="233"/>
      <c r="S54" s="300"/>
      <c r="U54" s="180" t="str">
        <f>IF(OR(O54="a",O54="as"),U46,IF(OR(O54="b",O54="bs"),U62,""))</f>
        <v/>
      </c>
      <c r="V54" s="285">
        <v>10</v>
      </c>
      <c r="W54" s="285" t="str">
        <f>UPPER(IF($D$25="","",VLOOKUP($D$25,'[3]m glavni turnir žrebna lista'!$A$7:$R$38,3)))</f>
        <v/>
      </c>
      <c r="X54" s="285" t="str">
        <f>PROPER(IF($D$25="","",VLOOKUP($D$25,'[3]m glavni turnir žrebna lista'!$A$7:$R$38,4)))</f>
        <v/>
      </c>
      <c r="Y54" s="281" t="str">
        <f>IF(W54="","",IF($U$24&lt;&gt;$U$25,"",IF($J$25="bb",1,IF($J$25="","0",$I$23))))</f>
        <v/>
      </c>
      <c r="Z54" s="281" t="str">
        <f>IF($W$45="","",IF($U$26&lt;&gt;$U$25,"",IF($L$27="bb",1,IF($L$27="","0",$K$28))))</f>
        <v>0</v>
      </c>
      <c r="AA54" s="281" t="str">
        <f>IF($W$45="","",IF($U$30&lt;&gt;$U$25,"",IF($N$31="bb",1,IF($N$31="","0",$M$34))))</f>
        <v>0</v>
      </c>
      <c r="AB54" s="281" t="str">
        <f>IF($W$45="","",IF($U$22&lt;&gt;$U$25,"",IF($P$23="bb",1,IF($P$23="","0",$O$14))))</f>
        <v>0</v>
      </c>
      <c r="AC54" s="281" t="str">
        <f>IF($W$45="","",IF($U$38&lt;&gt;$U$25,"",IF($P$39="bb",1,IF($P$39="","0",$Q$54))))</f>
        <v>0</v>
      </c>
      <c r="AD54" s="281"/>
      <c r="AE54" s="292">
        <f t="shared" si="3"/>
        <v>0</v>
      </c>
      <c r="AF54" s="283" t="str">
        <f>IF($C25="","",'m glavni 45 +'!$C$25)</f>
        <v/>
      </c>
      <c r="AG54" s="285" t="str">
        <f>UPPER(IF($D$25="","",VLOOKUP($D$25,'[3]m glavni turnir žrebna lista'!$A$7:$R$38,3)))</f>
        <v/>
      </c>
      <c r="AH54" s="285" t="str">
        <f>PROPER(IF($D$25="","",VLOOKUP($D$25,'[3]m glavni turnir žrebna lista'!$A$7:$R$38,4)))</f>
        <v/>
      </c>
      <c r="AI54" s="285" t="str">
        <f>UPPER(IF($D$25="","",VLOOKUP($D$25,'[3]m glavni turnir žrebna lista'!$A$7:$R$38,5)))</f>
        <v/>
      </c>
      <c r="AJ54" s="292">
        <f t="shared" si="4"/>
        <v>0</v>
      </c>
    </row>
    <row r="55" spans="1:36" s="234" customFormat="1" ht="9.6" customHeight="1">
      <c r="A55" s="223">
        <v>25</v>
      </c>
      <c r="B55" s="224">
        <f>IF($D55="","",VLOOKUP($D55,'[3]m glavni turnir žrebna lista'!$A$7:$R$38,17))</f>
        <v>0</v>
      </c>
      <c r="C55" s="224">
        <f>IF($D55="","",VLOOKUP($D55,'[3]m glavni turnir žrebna lista'!$A$7:$R$38,2))</f>
        <v>0</v>
      </c>
      <c r="D55" s="225">
        <v>7</v>
      </c>
      <c r="E55" s="224" t="str">
        <f>UPPER(IF($D55="","",VLOOKUP($D55,'[3]m glavni turnir žrebna lista'!$A$7:$R$38,3)))</f>
        <v>PERKOVIČ IGOR</v>
      </c>
      <c r="F55" s="224" t="str">
        <f>PROPER(IF($D55="","",VLOOKUP($D55,'[3]m glavni turnir žrebna lista'!$A$7:$R$38,4)))</f>
        <v>7</v>
      </c>
      <c r="G55" s="224"/>
      <c r="H55" s="224">
        <f>IF($D55="","",VLOOKUP($D55,'[3]m glavni turnir žrebna lista'!$A$7:$R$38,5))</f>
        <v>0</v>
      </c>
      <c r="I55" s="226">
        <f>IF($D55="","",VLOOKUP($D55,'[3]m glavni turnir žrebna lista'!$A$7:$R$38,14))</f>
        <v>0</v>
      </c>
      <c r="J55" s="227"/>
      <c r="K55" s="228"/>
      <c r="L55" s="227"/>
      <c r="M55" s="262"/>
      <c r="N55" s="229"/>
      <c r="O55" s="269"/>
      <c r="P55" s="254"/>
      <c r="Q55" s="230"/>
      <c r="R55" s="233"/>
      <c r="S55" s="300"/>
      <c r="U55" s="180">
        <f>IF($D55="","",VLOOKUP($D55,'[3]m glavni turnir žrebna lista'!$A$7:$R$38,2))</f>
        <v>0</v>
      </c>
      <c r="V55" s="285">
        <v>11</v>
      </c>
      <c r="W55" s="285" t="str">
        <f>UPPER(IF($D$27="","",VLOOKUP($D$27,'[3]m glavni turnir žrebna lista'!$A$7:$R$38,3)))</f>
        <v>MAVER PETER</v>
      </c>
      <c r="X55" s="285" t="str">
        <f>PROPER(IF($D$27="","",VLOOKUP($D$27,'[3]m glavni turnir žrebna lista'!$A$7:$R$38,4)))</f>
        <v/>
      </c>
      <c r="Y55" s="281" t="str">
        <f>IF(W55="","",IF($U$28&lt;&gt;$U$27,"",IF($J$29="bb",1,IF($J$29="","0",$I$29))))</f>
        <v>0</v>
      </c>
      <c r="Z55" s="281" t="str">
        <f>IF($W$45="","",IF($U$26&lt;&gt;$U$27,"",IF($L$27="bb",1,IF($L$27="","0",$K$24))))</f>
        <v/>
      </c>
      <c r="AA55" s="281" t="str">
        <f>IF($W$45="","",IF($U$30&lt;&gt;$U$27,"",IF($N$31="bb",1,IF($N$31="","0",$M$34))))</f>
        <v/>
      </c>
      <c r="AB55" s="281" t="str">
        <f>IF($W$45="","",IF($U$22&lt;&gt;$U$27,"",IF($P$23="bb",1,IF($P$23="","0",$O$14))))</f>
        <v/>
      </c>
      <c r="AC55" s="281" t="str">
        <f>IF($W$45="","",IF($U$38&lt;&gt;$U$27,"",IF($P$39="bb",1,IF($P$39="","0",$Q$54))))</f>
        <v/>
      </c>
      <c r="AD55" s="281"/>
      <c r="AE55" s="292">
        <f t="shared" si="3"/>
        <v>0</v>
      </c>
      <c r="AF55" s="283">
        <f>IF($C27="","",'m glavni 45 +'!$C$27)</f>
        <v>0</v>
      </c>
      <c r="AG55" s="285" t="str">
        <f>UPPER(IF($D$27="","",VLOOKUP($D$27,'[3]m glavni turnir žrebna lista'!$A$7:$R$38,3)))</f>
        <v>MAVER PETER</v>
      </c>
      <c r="AH55" s="285" t="str">
        <f>PROPER(IF($D$27="","",VLOOKUP($D$27,'[3]m glavni turnir žrebna lista'!$A$7:$R$38,4)))</f>
        <v/>
      </c>
      <c r="AI55" s="285" t="str">
        <f>UPPER(IF($D$27="","",VLOOKUP($D$27,'[3]m glavni turnir žrebna lista'!$A$7:$R$38,5)))</f>
        <v/>
      </c>
      <c r="AJ55" s="292">
        <f t="shared" si="4"/>
        <v>0</v>
      </c>
    </row>
    <row r="56" spans="1:36" s="234" customFormat="1" ht="9.6" customHeight="1">
      <c r="A56" s="239"/>
      <c r="B56" s="240"/>
      <c r="C56" s="240"/>
      <c r="D56" s="240"/>
      <c r="E56" s="241"/>
      <c r="F56" s="241"/>
      <c r="G56" s="242"/>
      <c r="H56" s="243" t="s">
        <v>87</v>
      </c>
      <c r="I56" s="244" t="s">
        <v>121</v>
      </c>
      <c r="J56" s="245" t="str">
        <f>UPPER(IF(OR(I56="a",I56="as"),E55,IF(OR(I56="b",I56="bs"),E57,)))</f>
        <v>PERKOVIČ IGOR</v>
      </c>
      <c r="K56" s="246">
        <f>IF(OR(I56="a",I56="as"),I55,IF(OR(I56="b",I56="bs"),I57,))</f>
        <v>0</v>
      </c>
      <c r="L56" s="227"/>
      <c r="M56" s="262"/>
      <c r="N56" s="229"/>
      <c r="O56" s="269"/>
      <c r="P56" s="229"/>
      <c r="Q56" s="230"/>
      <c r="R56" s="233"/>
      <c r="S56" s="300"/>
      <c r="U56" s="180">
        <f>IF(OR(I56="a",I56="as"),C55,IF(OR(I56="b",I56="bs"),C57,""))</f>
        <v>0</v>
      </c>
      <c r="V56" s="285">
        <v>12</v>
      </c>
      <c r="W56" s="285" t="str">
        <f>UPPER(IF($D$29="","",VLOOKUP($D$29,'[3]m glavni turnir žrebna lista'!$A$7:$R$38,3)))</f>
        <v/>
      </c>
      <c r="X56" s="285" t="str">
        <f>PROPER(IF($D$29="","",VLOOKUP($D$29,'[3]m glavni turnir žrebna lista'!$A$7:$R$38,4)))</f>
        <v/>
      </c>
      <c r="Y56" s="281" t="str">
        <f>IF(W56="","",IF($U$28&lt;&gt;$U$29,"",IF($J$29="bb",1,IF($J$29="","0",$I$27))))</f>
        <v/>
      </c>
      <c r="Z56" s="281" t="str">
        <f>IF($W$45="","",IF($U$26&lt;&gt;$U$29,"",IF($L$27="bb",1,IF($L$27="","0",$K$24))))</f>
        <v>0</v>
      </c>
      <c r="AA56" s="281" t="str">
        <f>IF($W$45="","",IF($U$30&lt;&gt;$U$29,"",IF($N$31="bb",1,IF($N$31="","0",$M$34))))</f>
        <v>0</v>
      </c>
      <c r="AB56" s="281" t="str">
        <f>IF($W$45="","",IF($U$22&lt;&gt;$U$29,"",IF($P$23="bb",1,IF($P$23="","0",$O$14))))</f>
        <v>0</v>
      </c>
      <c r="AC56" s="281" t="str">
        <f>IF($W$45="","",IF($U$38&lt;&gt;$U$29,"",IF($P$39="bb",1,IF($P$39="","0",$Q$54))))</f>
        <v>0</v>
      </c>
      <c r="AD56" s="281"/>
      <c r="AE56" s="292">
        <f t="shared" si="3"/>
        <v>0</v>
      </c>
      <c r="AF56" s="283" t="str">
        <f>IF($C29="","",'m glavni 45 +'!$C$29)</f>
        <v/>
      </c>
      <c r="AG56" s="285" t="str">
        <f>UPPER(IF($D$29="","",VLOOKUP($D$29,'[3]m glavni turnir žrebna lista'!$A$7:$R$38,3)))</f>
        <v/>
      </c>
      <c r="AH56" s="285" t="str">
        <f>PROPER(IF($D$29="","",VLOOKUP($D$29,'[3]m glavni turnir žrebna lista'!$A$7:$R$38,4)))</f>
        <v/>
      </c>
      <c r="AI56" s="285" t="str">
        <f>UPPER(IF($D$29="","",VLOOKUP($D$29,'[3]m glavni turnir žrebna lista'!$A$7:$R$38,5)))</f>
        <v/>
      </c>
      <c r="AJ56" s="292">
        <f t="shared" si="4"/>
        <v>0</v>
      </c>
    </row>
    <row r="57" spans="1:36" s="234" customFormat="1" ht="9.6" customHeight="1">
      <c r="A57" s="239">
        <v>26</v>
      </c>
      <c r="B57" s="251" t="str">
        <f>IF($D57="","",VLOOKUP($D57,'[3]m glavni turnir žrebna lista'!$A$7:$R$38,17))</f>
        <v/>
      </c>
      <c r="C57" s="251" t="str">
        <f>IF($D57="","",VLOOKUP($D57,'[3]m glavni turnir žrebna lista'!$A$7:$R$38,2))</f>
        <v/>
      </c>
      <c r="D57" s="225"/>
      <c r="E57" s="252" t="s">
        <v>3</v>
      </c>
      <c r="F57" s="252" t="str">
        <f>PROPER(IF($D57="","",VLOOKUP($D57,'[3]m glavni turnir žrebna lista'!$A$7:$R$38,4)))</f>
        <v/>
      </c>
      <c r="G57" s="252"/>
      <c r="H57" s="252" t="str">
        <f>IF($D57="","",VLOOKUP($D57,'[3]m glavni turnir žrebna lista'!$A$7:$R$38,5))</f>
        <v/>
      </c>
      <c r="I57" s="253" t="str">
        <f>IF($D57="","",VLOOKUP($D57,'[3]m glavni turnir žrebna lista'!$A$7:$R$38,14))</f>
        <v/>
      </c>
      <c r="J57" s="254"/>
      <c r="K57" s="255"/>
      <c r="L57" s="227"/>
      <c r="M57" s="229"/>
      <c r="O57" s="269"/>
      <c r="P57" s="229"/>
      <c r="Q57" s="230"/>
      <c r="R57" s="233"/>
      <c r="S57" s="300"/>
      <c r="U57" s="180" t="str">
        <f>IF($D57="","",VLOOKUP($D57,'[3]m glavni turnir žrebna lista'!$A$7:$R$38,2))</f>
        <v/>
      </c>
      <c r="V57" s="285">
        <v>13</v>
      </c>
      <c r="W57" s="285" t="str">
        <f>UPPER(IF($D$31="","",VLOOKUP($D$31,'[3]m glavni turnir žrebna lista'!$A$7:$R$38,3)))</f>
        <v>SVOLJŠAK JANEZ</v>
      </c>
      <c r="X57" s="285" t="str">
        <f>PROPER(IF($D$31="","",VLOOKUP($D$31,'[3]m glavni turnir žrebna lista'!$A$7:$R$38,4)))</f>
        <v/>
      </c>
      <c r="Y57" s="281" t="str">
        <f>IF(W57="","",IF($U$32&lt;&gt;$U$31,"",IF($J$33="bb",1,IF($J$33="","0",$I$33))))</f>
        <v/>
      </c>
      <c r="Z57" s="281" t="str">
        <f>IF($W$45="","",IF($U$34&lt;&gt;$U$31,"",IF($L$35="bb",1,IF($L$35="","0",$K$36))))</f>
        <v/>
      </c>
      <c r="AA57" s="281" t="str">
        <f>IF($W$45="","",IF($U$30&lt;&gt;$U$31,"",IF($N$31="bb",1,IF($N$31="","0",$M$26))))</f>
        <v/>
      </c>
      <c r="AB57" s="281" t="str">
        <f>IF($W$45="","",IF($U$22&lt;&gt;$U$31,"",IF($P$23="bb",1,IF($P$23="","0",$O$14))))</f>
        <v/>
      </c>
      <c r="AC57" s="281" t="str">
        <f>IF($W$45="","",IF($U$38&lt;&gt;$U$31,"",IF($P$39="bb",1,IF($P$39="","0",$Q$54))))</f>
        <v/>
      </c>
      <c r="AD57" s="281"/>
      <c r="AE57" s="292">
        <f t="shared" si="3"/>
        <v>0</v>
      </c>
      <c r="AF57" s="283">
        <f>IF($C31="","",'m glavni 45 +'!$C$31)</f>
        <v>0</v>
      </c>
      <c r="AG57" s="285" t="str">
        <f>UPPER(IF($D$31="","",VLOOKUP($D$31,'[3]m glavni turnir žrebna lista'!$A$7:$R$38,3)))</f>
        <v>SVOLJŠAK JANEZ</v>
      </c>
      <c r="AH57" s="285" t="str">
        <f>PROPER(IF($D$31="","",VLOOKUP($D$31,'[3]m glavni turnir žrebna lista'!$A$7:$R$38,4)))</f>
        <v/>
      </c>
      <c r="AI57" s="285" t="str">
        <f>UPPER(IF($D$31="","",VLOOKUP($D$31,'[3]m glavni turnir žrebna lista'!$A$7:$R$38,5)))</f>
        <v/>
      </c>
      <c r="AJ57" s="292">
        <f t="shared" si="4"/>
        <v>0</v>
      </c>
    </row>
    <row r="58" spans="1:36" s="234" customFormat="1" ht="9.6" customHeight="1">
      <c r="A58" s="239"/>
      <c r="B58" s="240"/>
      <c r="C58" s="240"/>
      <c r="D58" s="256"/>
      <c r="E58" s="241"/>
      <c r="F58" s="241"/>
      <c r="G58" s="242"/>
      <c r="H58" s="241"/>
      <c r="I58" s="257"/>
      <c r="J58" s="243" t="s">
        <v>87</v>
      </c>
      <c r="K58" s="258"/>
      <c r="L58" s="259" t="str">
        <f>UPPER(IF(OR(K58="a",K58="as"),J56,IF(OR(K58="b",K58="bs"),J60,)))</f>
        <v/>
      </c>
      <c r="M58" s="260">
        <f>IF(OR(K58="a",K58="as"),K56,IF(OR(K58="b",K58="bs"),K60,))</f>
        <v>0</v>
      </c>
      <c r="N58" s="229"/>
      <c r="O58" s="269"/>
      <c r="P58" s="229"/>
      <c r="Q58" s="230"/>
      <c r="R58" s="233"/>
      <c r="S58" s="300"/>
      <c r="U58" s="180" t="str">
        <f>IF(OR(K58="a",K58="as"),U56,IF(OR(K58="b",K58="bs"),U60,""))</f>
        <v/>
      </c>
      <c r="V58" s="285">
        <v>14</v>
      </c>
      <c r="W58" s="285" t="str">
        <f>UPPER(IF($D$33="","",VLOOKUP($D$33,'[3]m glavni turnir žrebna lista'!$A$7:$R$38,3)))</f>
        <v>NOSAN ROBERT</v>
      </c>
      <c r="X58" s="285" t="str">
        <f>PROPER(IF($D$33="","",VLOOKUP($D$33,'[3]m glavni turnir žrebna lista'!$A$7:$R$38,4)))</f>
        <v/>
      </c>
      <c r="Y58" s="281" t="str">
        <f>IF(W58="","",IF($U$32&lt;&gt;$U$33,"",IF($J$33="bb",1,IF($J$33="","0",$I$31))))</f>
        <v/>
      </c>
      <c r="Z58" s="281" t="str">
        <f>IF($W$45="","",IF($U$34&lt;&gt;$U$33,"",IF($L$35="bb",1,IF($L$35="","0",$K$36))))</f>
        <v/>
      </c>
      <c r="AA58" s="281" t="str">
        <f>IF($W$45="","",IF($U$30&lt;&gt;$U$33,"",IF($N$31="bb",1,IF($N$31="","0",$M$26))))</f>
        <v/>
      </c>
      <c r="AB58" s="281" t="str">
        <f>IF($W$45="","",IF($U$22&lt;&gt;$U$33,"",IF($P$23="bb",1,IF($P$23="","0",$O$14))))</f>
        <v/>
      </c>
      <c r="AC58" s="281" t="str">
        <f>IF($W$45="","",IF($U$38&lt;&gt;$U$33,"",IF($P$39="bb",1,IF($P$39="","0",$Q$54))))</f>
        <v/>
      </c>
      <c r="AD58" s="281"/>
      <c r="AE58" s="292">
        <f t="shared" si="3"/>
        <v>0</v>
      </c>
      <c r="AF58" s="283">
        <f>IF($C33="","",'m glavni 45 +'!$C$33)</f>
        <v>0</v>
      </c>
      <c r="AG58" s="285" t="str">
        <f>UPPER(IF($D$33="","",VLOOKUP($D$33,'[3]m glavni turnir žrebna lista'!$A$7:$R$38,3)))</f>
        <v>NOSAN ROBERT</v>
      </c>
      <c r="AH58" s="285" t="str">
        <f>PROPER(IF($D$33="","",VLOOKUP($D$33,'[3]m glavni turnir žrebna lista'!$A$7:$R$38,4)))</f>
        <v/>
      </c>
      <c r="AI58" s="285" t="str">
        <f>UPPER(IF($D$33="","",VLOOKUP($D$33,'[3]m glavni turnir žrebna lista'!$A$7:$R$38,5)))</f>
        <v/>
      </c>
      <c r="AJ58" s="292">
        <f t="shared" si="4"/>
        <v>0</v>
      </c>
    </row>
    <row r="59" spans="1:36" s="234" customFormat="1" ht="9.6" customHeight="1">
      <c r="A59" s="239">
        <v>27</v>
      </c>
      <c r="B59" s="251">
        <f>IF($D59="","",VLOOKUP($D59,'[3]m glavni turnir žrebna lista'!$A$7:$R$38,17))</f>
        <v>0</v>
      </c>
      <c r="C59" s="251">
        <f>IF($D59="","",VLOOKUP($D59,'[3]m glavni turnir žrebna lista'!$A$7:$R$38,2))</f>
        <v>0</v>
      </c>
      <c r="D59" s="225">
        <v>10</v>
      </c>
      <c r="E59" s="252" t="str">
        <f>UPPER(IF($D59="","",VLOOKUP($D59,'[3]m glavni turnir žrebna lista'!$A$7:$R$38,3)))</f>
        <v>BLATNIK MATJAŽ</v>
      </c>
      <c r="F59" s="252" t="str">
        <f>PROPER(IF($D59="","",VLOOKUP($D59,'[3]m glavni turnir žrebna lista'!$A$7:$R$38,4)))</f>
        <v/>
      </c>
      <c r="G59" s="252"/>
      <c r="H59" s="252">
        <f>IF($D59="","",VLOOKUP($D59,'[3]m glavni turnir žrebna lista'!$A$7:$R$38,5))</f>
        <v>0</v>
      </c>
      <c r="I59" s="226">
        <f>IF($D59="","",VLOOKUP($D59,'[3]m glavni turnir žrebna lista'!$A$7:$R$38,14))</f>
        <v>0</v>
      </c>
      <c r="J59" s="227"/>
      <c r="K59" s="264"/>
      <c r="L59" s="254"/>
      <c r="M59" s="265"/>
      <c r="N59" s="229"/>
      <c r="O59" s="269"/>
      <c r="P59" s="229"/>
      <c r="Q59" s="230"/>
      <c r="R59" s="302"/>
      <c r="S59" s="300"/>
      <c r="U59" s="180">
        <f>IF($D59="","",VLOOKUP($D59,'[3]m glavni turnir žrebna lista'!$A$7:$R$38,2))</f>
        <v>0</v>
      </c>
      <c r="V59" s="285">
        <v>15</v>
      </c>
      <c r="W59" s="285" t="str">
        <f>UPPER(IF($D$35="","",VLOOKUP($D$35,'[3]m glavni turnir žrebna lista'!$A$7:$R$38,3)))</f>
        <v/>
      </c>
      <c r="X59" s="285" t="str">
        <f>PROPER(IF($D$35="","",VLOOKUP($D$35,'[3]m glavni turnir žrebna lista'!$A$7:$R$38,4)))</f>
        <v/>
      </c>
      <c r="Y59" s="281" t="str">
        <f>IF(W59="","",IF($U$36&lt;&gt;$U$35,"",IF($J$37="bb",1,IF($J$37="","0",$I$37))))</f>
        <v/>
      </c>
      <c r="Z59" s="281" t="str">
        <f>IF($W$45="","",IF($U$34&lt;&gt;$U$35,"",IF($L$35="bb",1,IF($L$35="","0",$K$32))))</f>
        <v>0</v>
      </c>
      <c r="AA59" s="281" t="str">
        <f>IF($W$45="","",IF($U$30&lt;&gt;$U$35,"",IF($N$31="bb",1,IF($N$31="","0",$M$26))))</f>
        <v>0</v>
      </c>
      <c r="AB59" s="281" t="str">
        <f>IF($W$45="","",IF($U$22&lt;&gt;$U$35,"",IF($P$23="bb",1,IF($P$23="","0",$O$14))))</f>
        <v>0</v>
      </c>
      <c r="AC59" s="281" t="str">
        <f>IF($W$45="","",IF($U$38&lt;&gt;$U$35,"",IF($P$39="bb",1,IF($P$39="","0",$Q$54))))</f>
        <v>0</v>
      </c>
      <c r="AD59" s="281"/>
      <c r="AE59" s="292">
        <f t="shared" si="3"/>
        <v>0</v>
      </c>
      <c r="AF59" s="283" t="str">
        <f>IF($C35="","",'m glavni 45 +'!$C$35)</f>
        <v/>
      </c>
      <c r="AG59" s="285" t="str">
        <f>UPPER(IF($D$35="","",VLOOKUP($D$35,'[3]m glavni turnir žrebna lista'!$A$7:$R$38,3)))</f>
        <v/>
      </c>
      <c r="AH59" s="285" t="str">
        <f>PROPER(IF($D$35="","",VLOOKUP($D$35,'[3]m glavni turnir žrebna lista'!$A$7:$R$38,4)))</f>
        <v/>
      </c>
      <c r="AI59" s="285" t="str">
        <f>UPPER(IF($D$35="","",VLOOKUP($D$35,'[3]m glavni turnir žrebna lista'!$A$7:$R$38,5)))</f>
        <v/>
      </c>
      <c r="AJ59" s="292">
        <f t="shared" si="4"/>
        <v>0</v>
      </c>
    </row>
    <row r="60" spans="1:36" s="234" customFormat="1" ht="9.6" customHeight="1">
      <c r="A60" s="239"/>
      <c r="B60" s="240"/>
      <c r="C60" s="240"/>
      <c r="D60" s="256"/>
      <c r="E60" s="241"/>
      <c r="F60" s="241"/>
      <c r="G60" s="242"/>
      <c r="H60" s="243" t="s">
        <v>87</v>
      </c>
      <c r="I60" s="244"/>
      <c r="J60" s="259" t="str">
        <f>UPPER(IF(OR(I60="a",I60="as"),E59,IF(OR(I60="b",I60="bs"),E61,)))</f>
        <v/>
      </c>
      <c r="K60" s="266">
        <f>IF(OR(I60="a",I60="as"),I59,IF(OR(I60="b",I60="bs"),I61,))</f>
        <v>0</v>
      </c>
      <c r="L60" s="227"/>
      <c r="M60" s="265"/>
      <c r="N60" s="229"/>
      <c r="O60" s="269"/>
      <c r="P60" s="526"/>
      <c r="Q60" s="527"/>
      <c r="R60" s="233"/>
      <c r="S60" s="300"/>
      <c r="U60" s="180" t="str">
        <f>IF(OR(I60="a",I60="as"),C59,IF(OR(I60="b",I60="bs"),C61,""))</f>
        <v/>
      </c>
      <c r="V60" s="285">
        <v>16</v>
      </c>
      <c r="W60" s="285" t="str">
        <f>UPPER(IF($D$37="","",VLOOKUP($D$37,'[3]m glavni turnir žrebna lista'!$A$7:$R$38,3)))</f>
        <v>KUKOVICA ROBERT</v>
      </c>
      <c r="X60" s="285" t="str">
        <f>PROPER(IF($D$37="","",VLOOKUP($D$37,'[3]m glavni turnir žrebna lista'!$A$7:$R$38,4)))</f>
        <v>5</v>
      </c>
      <c r="Y60" s="281" t="str">
        <f>IF(W60="","",IF($U$36&lt;&gt;$U$37,"",IF($J$37="bb",1,IF($J$37="","0",$I$35))))</f>
        <v/>
      </c>
      <c r="Z60" s="281" t="str">
        <f>IF($W$45="","",IF($U$34&lt;&gt;$U$37,"",IF($L$35="bb",1,IF($L$35="","0",$K$32))))</f>
        <v/>
      </c>
      <c r="AA60" s="281" t="str">
        <f>IF($W$45="","",IF($U$30&lt;&gt;$U$37,"",IF($N$31="bb",1,IF($N$31="","0",$M$26))))</f>
        <v/>
      </c>
      <c r="AB60" s="281" t="str">
        <f>IF($W$45="","",IF($U$22&lt;&gt;$U$37,"",IF($P$23="bb",1,IF($P$23="","0",$O$14))))</f>
        <v/>
      </c>
      <c r="AC60" s="281" t="str">
        <f>IF($W$45="","",IF($U$38&lt;&gt;$U$37,"",IF($P$39="bb",1,IF($P$39="","0",$Q$54))))</f>
        <v/>
      </c>
      <c r="AD60" s="281"/>
      <c r="AE60" s="292">
        <f t="shared" si="3"/>
        <v>0</v>
      </c>
      <c r="AF60" s="283">
        <f>IF($C37="","",'m glavni 45 +'!$C$37)</f>
        <v>0</v>
      </c>
      <c r="AG60" s="285" t="str">
        <f>UPPER(IF($D$37="","",VLOOKUP($D$37,'[3]m glavni turnir žrebna lista'!$A$7:$R$38,3)))</f>
        <v>KUKOVICA ROBERT</v>
      </c>
      <c r="AH60" s="285" t="str">
        <f>PROPER(IF($D$37="","",VLOOKUP($D$37,'[3]m glavni turnir žrebna lista'!$A$7:$R$38,4)))</f>
        <v>5</v>
      </c>
      <c r="AI60" s="285" t="str">
        <f>UPPER(IF($D$37="","",VLOOKUP($D$37,'[3]m glavni turnir žrebna lista'!$A$7:$R$38,5)))</f>
        <v/>
      </c>
      <c r="AJ60" s="292">
        <f t="shared" si="4"/>
        <v>0</v>
      </c>
    </row>
    <row r="61" spans="1:36" s="234" customFormat="1" ht="9.6" customHeight="1">
      <c r="A61" s="239">
        <v>28</v>
      </c>
      <c r="B61" s="251">
        <f>IF($D61="","",VLOOKUP($D61,'[3]m glavni turnir žrebna lista'!$A$7:$R$38,17))</f>
        <v>0</v>
      </c>
      <c r="C61" s="251">
        <f>IF($D61="","",VLOOKUP($D61,'[3]m glavni turnir žrebna lista'!$A$7:$R$38,2))</f>
        <v>0</v>
      </c>
      <c r="D61" s="225">
        <v>11</v>
      </c>
      <c r="E61" s="252" t="str">
        <f>UPPER(IF($D61="","",VLOOKUP($D61,'[3]m glavni turnir žrebna lista'!$A$7:$R$38,3)))</f>
        <v>BOLHAR GAŠPER</v>
      </c>
      <c r="F61" s="252" t="str">
        <f>PROPER(IF($D61="","",VLOOKUP($D61,'[3]m glavni turnir žrebna lista'!$A$7:$R$38,4)))</f>
        <v/>
      </c>
      <c r="G61" s="252"/>
      <c r="H61" s="252">
        <f>IF($D61="","",VLOOKUP($D61,'[3]m glavni turnir žrebna lista'!$A$7:$R$38,5))</f>
        <v>0</v>
      </c>
      <c r="I61" s="253">
        <f>IF($D61="","",VLOOKUP($D61,'[3]m glavni turnir žrebna lista'!$A$7:$R$38,14))</f>
        <v>0</v>
      </c>
      <c r="J61" s="254"/>
      <c r="K61" s="228"/>
      <c r="L61" s="227"/>
      <c r="M61" s="265"/>
      <c r="N61" s="229"/>
      <c r="O61" s="303"/>
      <c r="P61" s="526" t="s">
        <v>97</v>
      </c>
      <c r="Q61" s="528"/>
      <c r="R61" s="233"/>
      <c r="S61" s="300"/>
      <c r="U61" s="180">
        <f>IF($D61="","",VLOOKUP($D61,'[3]m glavni turnir žrebna lista'!$A$7:$R$38,2))</f>
        <v>0</v>
      </c>
      <c r="V61" s="285">
        <v>17</v>
      </c>
      <c r="W61" s="285" t="str">
        <f>UPPER(IF($D$39="","",VLOOKUP($D$39,'[3]m glavni turnir žrebna lista'!$A$7:$R$38,3)))</f>
        <v>RAGUŽ DRAGAN</v>
      </c>
      <c r="X61" s="285" t="str">
        <f>PROPER(IF($D$39="","",VLOOKUP($D$39,'[3]m glavni turnir žrebna lista'!$A$7:$R$38,4)))</f>
        <v>6</v>
      </c>
      <c r="Y61" s="281" t="str">
        <f>IF(W61="","",IF($U$40&lt;&gt;$U$39,"",IF($J$41="bb",1,IF($J$41="","0",$I$41))))</f>
        <v>0</v>
      </c>
      <c r="Z61" s="281" t="str">
        <f>IF($W$45="","",IF($U$42&lt;&gt;$U$39,"",IF($L$43="bb",1,IF($L$43="","0",$K$44))))</f>
        <v/>
      </c>
      <c r="AA61" s="281" t="str">
        <f>IF($W$45="","",IF($U$46&lt;&gt;$U$39,"",IF($N$47="bb",1,IF($N$47="","0",$M$50))))</f>
        <v/>
      </c>
      <c r="AB61" s="281" t="str">
        <f>IF($W$45="","",IF($U$54&lt;&gt;$U$39,"",IF($P$55="bb",1,IF($P$55="","0",$O$62))))</f>
        <v/>
      </c>
      <c r="AC61" s="281" t="str">
        <f>IF($W$45="","",IF($U$38&lt;&gt;$U$39,"",IF($P$39="bb",1,IF($P$39="","0",$Q$22))))</f>
        <v/>
      </c>
      <c r="AD61" s="281"/>
      <c r="AE61" s="292">
        <f t="shared" si="3"/>
        <v>0</v>
      </c>
      <c r="AF61" s="283">
        <f>IF($C39="","",'m glavni 45 +'!$C$39)</f>
        <v>0</v>
      </c>
      <c r="AG61" s="285" t="str">
        <f>UPPER(IF($D$39="","",VLOOKUP($D$39,'[3]m glavni turnir žrebna lista'!$A$7:$R$38,3)))</f>
        <v>RAGUŽ DRAGAN</v>
      </c>
      <c r="AH61" s="285" t="str">
        <f>PROPER(IF($D$39="","",VLOOKUP($D$39,'[3]m glavni turnir žrebna lista'!$A$7:$R$38,4)))</f>
        <v>6</v>
      </c>
      <c r="AI61" s="285" t="str">
        <f>UPPER(IF($D$39="","",VLOOKUP($D$39,'[3]m glavni turnir žrebna lista'!$A$7:$R$38,5)))</f>
        <v/>
      </c>
      <c r="AJ61" s="292">
        <f t="shared" si="4"/>
        <v>0</v>
      </c>
    </row>
    <row r="62" spans="1:36" s="234" customFormat="1" ht="9.6" customHeight="1">
      <c r="A62" s="239"/>
      <c r="B62" s="240"/>
      <c r="C62" s="240"/>
      <c r="D62" s="256"/>
      <c r="E62" s="227"/>
      <c r="F62" s="227"/>
      <c r="G62" s="267"/>
      <c r="H62" s="268"/>
      <c r="I62" s="257"/>
      <c r="J62" s="227"/>
      <c r="K62" s="228"/>
      <c r="L62" s="243" t="s">
        <v>87</v>
      </c>
      <c r="M62" s="258"/>
      <c r="N62" s="259" t="str">
        <f>UPPER(IF(OR(M62="a",M62="as"),L58,IF(OR(M62="b",M62="bs"),L66,)))</f>
        <v/>
      </c>
      <c r="O62" s="297">
        <f>IF(OR(M62="a",M62="as"),M58,IF(OR(M62="b",M62="bs"),M66,))</f>
        <v>0</v>
      </c>
      <c r="P62" s="526"/>
      <c r="Q62" s="528"/>
      <c r="R62" s="304" t="str">
        <f>IF($R$63&gt;=310,1,IF($R$63&gt;=220,2,IF($R$63&gt;=10,3,"")))</f>
        <v/>
      </c>
      <c r="S62" s="300"/>
      <c r="U62" s="180" t="str">
        <f>IF(OR(M62="a",M62="as"),U58,IF(OR(M62="b",M62="bs"),U66,""))</f>
        <v/>
      </c>
      <c r="V62" s="285">
        <v>18</v>
      </c>
      <c r="W62" s="285" t="str">
        <f>UPPER(IF($D$41="","",VLOOKUP($D$41,'[3]m glavni turnir žrebna lista'!$A$7:$R$38,3)))</f>
        <v/>
      </c>
      <c r="X62" s="285" t="str">
        <f>PROPER(IF($D$41="","",VLOOKUP($D$41,'[3]m glavni turnir žrebna lista'!$A$7:$R$38,4)))</f>
        <v/>
      </c>
      <c r="Y62" s="281" t="str">
        <f>IF(W62="","",IF($U$40&lt;&gt;$U$41,"",IF($J$41="bb",1,IF($J$41="","0",$I$39))))</f>
        <v/>
      </c>
      <c r="Z62" s="281" t="str">
        <f>IF($W$45="","",IF($U$42&lt;&gt;$U$41,"",IF($L$43="bb",1,IF($L$43="","0",$K$44))))</f>
        <v>0</v>
      </c>
      <c r="AA62" s="281" t="str">
        <f>IF($W$45="","",IF($U$46&lt;&gt;$U$41,"",IF($N$47="bb",1,IF($N$47="","0",$M$50))))</f>
        <v>0</v>
      </c>
      <c r="AB62" s="281" t="str">
        <f>IF($W$45="","",IF($U$54&lt;&gt;$U$41,"",IF($P$55="bb",1,IF($P$55="","0",$O$62))))</f>
        <v>0</v>
      </c>
      <c r="AC62" s="281" t="str">
        <f>IF($W$45="","",IF($U$38&lt;&gt;$U$41,"",IF($P$39="bb",1,IF($P$39="","0",$Q$22))))</f>
        <v>0</v>
      </c>
      <c r="AD62" s="281"/>
      <c r="AE62" s="292">
        <f t="shared" si="3"/>
        <v>0</v>
      </c>
      <c r="AF62" s="283" t="str">
        <f>IF($C41="","",'m glavni 45 +'!$C$41)</f>
        <v/>
      </c>
      <c r="AG62" s="285" t="str">
        <f>UPPER(IF($D$41="","",VLOOKUP($D$41,'[3]m glavni turnir žrebna lista'!$A$7:$R$38,3)))</f>
        <v/>
      </c>
      <c r="AH62" s="285" t="str">
        <f>PROPER(IF($D$41="","",VLOOKUP($D$41,'[3]m glavni turnir žrebna lista'!$A$7:$R$38,4)))</f>
        <v/>
      </c>
      <c r="AI62" s="285" t="str">
        <f>UPPER(IF($D$41="","",VLOOKUP($D$41,'[3]m glavni turnir žrebna lista'!$A$7:$R$38,5)))</f>
        <v/>
      </c>
      <c r="AJ62" s="292">
        <f t="shared" si="4"/>
        <v>0</v>
      </c>
    </row>
    <row r="63" spans="1:36" s="234" customFormat="1" ht="9.6" customHeight="1">
      <c r="A63" s="239">
        <v>29</v>
      </c>
      <c r="B63" s="251" t="str">
        <f>IF($D63="","",VLOOKUP($D63,'[3]m glavni turnir žrebna lista'!$A$7:$R$38,17))</f>
        <v/>
      </c>
      <c r="C63" s="251" t="str">
        <f>IF($D63="","",VLOOKUP($D63,'[3]m glavni turnir žrebna lista'!$A$7:$R$38,2))</f>
        <v/>
      </c>
      <c r="D63" s="225"/>
      <c r="E63" s="252" t="s">
        <v>3</v>
      </c>
      <c r="F63" s="252" t="str">
        <f>PROPER(IF($D63="","",VLOOKUP($D63,'[3]m glavni turnir žrebna lista'!$A$7:$R$38,4)))</f>
        <v/>
      </c>
      <c r="G63" s="252"/>
      <c r="H63" s="252" t="str">
        <f>IF($D63="","",VLOOKUP($D63,'[3]m glavni turnir žrebna lista'!$A$7:$R$38,5))</f>
        <v/>
      </c>
      <c r="I63" s="226" t="str">
        <f>IF($D63="","",VLOOKUP($D63,'[3]m glavni turnir žrebna lista'!$A$7:$R$38,14))</f>
        <v/>
      </c>
      <c r="J63" s="227"/>
      <c r="K63" s="228"/>
      <c r="L63" s="227"/>
      <c r="M63" s="265"/>
      <c r="N63" s="254"/>
      <c r="O63" s="262"/>
      <c r="P63" s="305" t="s">
        <v>98</v>
      </c>
      <c r="Q63" s="306">
        <f>MIN(J4,R62)</f>
        <v>0</v>
      </c>
      <c r="R63" s="304">
        <f>SUM(LARGE(H72:H79,{1}),LARGE(H72:H79,{2}),LARGE(H72:H79,{3}),LARGE(H72:H79,{4}))</f>
        <v>0</v>
      </c>
      <c r="S63" s="300"/>
      <c r="U63" s="180" t="str">
        <f>IF($D63="","",VLOOKUP($D63,'[3]m glavni turnir žrebna lista'!$A$7:$R$38,2))</f>
        <v/>
      </c>
      <c r="V63" s="285">
        <v>19</v>
      </c>
      <c r="W63" s="285" t="str">
        <f>UPPER(IF($D$43="","",VLOOKUP($D$43,'[3]m glavni turnir žrebna lista'!$A$7:$R$38,3)))</f>
        <v>ERŽEN MATEJ</v>
      </c>
      <c r="X63" s="285" t="str">
        <f>PROPER(IF($D$43="","",VLOOKUP($D$43,'[3]m glavni turnir žrebna lista'!$A$7:$R$38,4)))</f>
        <v/>
      </c>
      <c r="Y63" s="281" t="str">
        <f>IF(W63="","",IF($U$44&lt;&gt;$U$43,"",IF($J$45="bb",1,IF($J$45="","0",$I$45))))</f>
        <v>0</v>
      </c>
      <c r="Z63" s="281" t="str">
        <f>IF($W$45="","",IF($U$42&lt;&gt;$U$43,"",IF($L$43="bb",1,IF($L$43="","0",$K$40))))</f>
        <v/>
      </c>
      <c r="AA63" s="281" t="str">
        <f>IF($W$45="","",IF($U$46&lt;&gt;$U$43,"",IF($N$47="bb",1,IF($N$47="","0",$M$50))))</f>
        <v/>
      </c>
      <c r="AB63" s="281" t="str">
        <f>IF($W$45="","",IF($U$54&lt;&gt;$U$43,"",IF($P$55="bb",1,IF($P$55="","0",$O$62))))</f>
        <v/>
      </c>
      <c r="AC63" s="281" t="str">
        <f>IF($W$45="","",IF($U$38&lt;&gt;$U$43,"",IF($P$39="bb",1,IF($P$39="","0",$Q$22))))</f>
        <v/>
      </c>
      <c r="AD63" s="281"/>
      <c r="AE63" s="292">
        <f t="shared" si="3"/>
        <v>0</v>
      </c>
      <c r="AF63" s="283">
        <f>IF($C43="","",'m glavni 45 +'!$C$43)</f>
        <v>0</v>
      </c>
      <c r="AG63" s="285" t="str">
        <f>UPPER(IF($D$43="","",VLOOKUP($D$43,'[3]m glavni turnir žrebna lista'!$A$7:$R$38,3)))</f>
        <v>ERŽEN MATEJ</v>
      </c>
      <c r="AH63" s="285" t="str">
        <f>PROPER(IF($D$43="","",VLOOKUP($D$43,'[3]m glavni turnir žrebna lista'!$A$7:$R$38,4)))</f>
        <v/>
      </c>
      <c r="AI63" s="285" t="str">
        <f>UPPER(IF($D$43="","",VLOOKUP($D$43,'[3]m glavni turnir žrebna lista'!$A$7:$R$38,5)))</f>
        <v/>
      </c>
      <c r="AJ63" s="292">
        <f t="shared" si="4"/>
        <v>0</v>
      </c>
    </row>
    <row r="64" spans="1:36" s="234" customFormat="1" ht="9.6" customHeight="1">
      <c r="A64" s="239"/>
      <c r="B64" s="240"/>
      <c r="C64" s="240"/>
      <c r="D64" s="256"/>
      <c r="E64" s="241"/>
      <c r="F64" s="241"/>
      <c r="G64" s="242"/>
      <c r="H64" s="243" t="s">
        <v>87</v>
      </c>
      <c r="I64" s="244"/>
      <c r="J64" s="259" t="s">
        <v>130</v>
      </c>
      <c r="K64" s="246">
        <f>IF(OR(I64="a",I64="as"),I63,IF(OR(I64="b",I64="bs"),I65,))</f>
        <v>0</v>
      </c>
      <c r="L64" s="227"/>
      <c r="M64" s="265"/>
      <c r="N64" s="261"/>
      <c r="O64" s="262"/>
      <c r="P64" s="307" t="s">
        <v>99</v>
      </c>
      <c r="Q64" s="308" t="str">
        <f>IF($C$2="B turnir",16,IF($Q$63=1,480,IF($Q$63=2,240,IF($Q$63=3,160,""))))</f>
        <v/>
      </c>
      <c r="R64" s="233"/>
      <c r="S64" s="300"/>
      <c r="U64" s="180" t="str">
        <f>IF(OR(I64="a",I64="as"),C63,IF(OR(I64="b",I64="bs"),C65,""))</f>
        <v/>
      </c>
      <c r="V64" s="285">
        <v>20</v>
      </c>
      <c r="W64" s="285" t="str">
        <f>UPPER(IF($D$45="","",VLOOKUP($D$45,'[3]m glavni turnir žrebna lista'!$A$7:$R$38,3)))</f>
        <v/>
      </c>
      <c r="X64" s="285" t="str">
        <f>PROPER(IF($D$45="","",VLOOKUP($D$45,'[3]m glavni turnir žrebna lista'!$A$7:$R$38,4)))</f>
        <v/>
      </c>
      <c r="Y64" s="281" t="str">
        <f>IF(W64="","",IF($U$44&lt;&gt;$U$45,"",IF($J$45="bb",1,IF($J$45="","0",$I$43))))</f>
        <v/>
      </c>
      <c r="Z64" s="281" t="str">
        <f>IF($W$45="","",IF($U$42&lt;&gt;$U$45,"",IF($L$43="bb",1,IF($L$43="","0",$K$40))))</f>
        <v>0</v>
      </c>
      <c r="AA64" s="281" t="str">
        <f>IF($W$45="","",IF($U$46&lt;&gt;$U$45,"",IF($N$47="bb",1,IF($N$47="","0",$M$50))))</f>
        <v>0</v>
      </c>
      <c r="AB64" s="281" t="str">
        <f>IF($W$45="","",IF($U$54&lt;&gt;$U$45,"",IF($P$55="bb",1,IF($P$55="","0",$O$62))))</f>
        <v>0</v>
      </c>
      <c r="AC64" s="281" t="str">
        <f>IF($W$45="","",IF($U$38&lt;&gt;$U$45,"",IF($P$39="bb",1,IF($P$39="","0",$Q$22))))</f>
        <v>0</v>
      </c>
      <c r="AD64" s="281"/>
      <c r="AE64" s="292">
        <f t="shared" si="3"/>
        <v>0</v>
      </c>
      <c r="AF64" s="283" t="str">
        <f>IF($C45="","",'m glavni 45 +'!$C$45)</f>
        <v/>
      </c>
      <c r="AG64" s="285" t="str">
        <f>UPPER(IF($D$45="","",VLOOKUP($D$45,'[3]m glavni turnir žrebna lista'!$A$7:$R$38,3)))</f>
        <v/>
      </c>
      <c r="AH64" s="285" t="str">
        <f>PROPER(IF($D$45="","",VLOOKUP($D$45,'[3]m glavni turnir žrebna lista'!$A$7:$R$38,4)))</f>
        <v/>
      </c>
      <c r="AI64" s="285" t="str">
        <f>UPPER(IF($D$45="","",VLOOKUP($D$45,'[3]m glavni turnir žrebna lista'!$A$7:$R$38,5)))</f>
        <v/>
      </c>
      <c r="AJ64" s="292">
        <f t="shared" si="4"/>
        <v>0</v>
      </c>
    </row>
    <row r="65" spans="1:36" s="234" customFormat="1" ht="9.6" customHeight="1">
      <c r="A65" s="239">
        <v>30</v>
      </c>
      <c r="B65" s="251">
        <f>IF($D65="","",VLOOKUP($D65,'[3]m glavni turnir žrebna lista'!$A$7:$R$38,17))</f>
        <v>0</v>
      </c>
      <c r="C65" s="251">
        <f>IF($D65="","",VLOOKUP($D65,'[3]m glavni turnir žrebna lista'!$A$7:$R$38,2))</f>
        <v>0</v>
      </c>
      <c r="D65" s="225">
        <v>9</v>
      </c>
      <c r="E65" s="252" t="str">
        <f>UPPER(IF($D65="","",VLOOKUP($D65,'[3]m glavni turnir žrebna lista'!$A$7:$R$38,3)))</f>
        <v>BLATNIK DUŠAN</v>
      </c>
      <c r="F65" s="252" t="str">
        <f>PROPER(IF($D65="","",VLOOKUP($D65,'[3]m glavni turnir žrebna lista'!$A$7:$R$38,4)))</f>
        <v/>
      </c>
      <c r="G65" s="252"/>
      <c r="H65" s="252">
        <f>IF($D65="","",VLOOKUP($D65,'[3]m glavni turnir žrebna lista'!$A$7:$R$38,5))</f>
        <v>0</v>
      </c>
      <c r="I65" s="253">
        <f>IF($D65="","",VLOOKUP($D65,'[3]m glavni turnir žrebna lista'!$A$7:$R$38,14))</f>
        <v>0</v>
      </c>
      <c r="J65" s="254"/>
      <c r="K65" s="255"/>
      <c r="L65" s="227"/>
      <c r="M65" s="265"/>
      <c r="N65" s="261"/>
      <c r="O65" s="262"/>
      <c r="P65" s="309" t="s">
        <v>100</v>
      </c>
      <c r="Q65" s="310" t="str">
        <f>IF($C$2="B turnir",12,IF($Q$63=1,360,IF($Q$63=2,180,IF($Q$63=3,120,""))))</f>
        <v/>
      </c>
      <c r="R65" s="233"/>
      <c r="S65" s="300"/>
      <c r="U65" s="180">
        <f>IF($D65="","",VLOOKUP($D65,'[3]m glavni turnir žrebna lista'!$A$7:$R$38,2))</f>
        <v>0</v>
      </c>
      <c r="V65" s="285">
        <v>21</v>
      </c>
      <c r="W65" s="285" t="str">
        <f>UPPER(IF($D$47="","",VLOOKUP($D$47,'[3]m glavni turnir žrebna lista'!$A$7:$R$38,3)))</f>
        <v>TRBEŽNIK MATJAŽ</v>
      </c>
      <c r="X65" s="285" t="str">
        <f>PROPER(IF($D$47="","",VLOOKUP($D$47,'[3]m glavni turnir žrebna lista'!$A$7:$R$38,4)))</f>
        <v/>
      </c>
      <c r="Y65" s="281" t="str">
        <f>IF(W65="","",IF($U$48&lt;&gt;$U$47,"",IF($J$49="bb",1,IF($J$49="","0",$I$49))))</f>
        <v/>
      </c>
      <c r="Z65" s="281" t="str">
        <f>IF($W$45="","",IF($U$50&lt;&gt;$U$47,"",IF($L$51="bb",1,IF($L$51="","0",$K$52))))</f>
        <v/>
      </c>
      <c r="AA65" s="281" t="str">
        <f>IF($W$45="","",IF($U$46&lt;&gt;$U$47,"",IF($N$47="bb",1,IF($N$47="","0",$M$42))))</f>
        <v/>
      </c>
      <c r="AB65" s="281" t="str">
        <f>IF($W$45="","",IF($U$54&lt;&gt;$U$47,"",IF($P$55="bb",1,IF($P$55="","0",$O$62))))</f>
        <v/>
      </c>
      <c r="AC65" s="281" t="str">
        <f>IF($W$45="","",IF($U$38&lt;&gt;$U$47,"",IF($P$39="bb",1,IF($P$39="","0",$Q$22))))</f>
        <v/>
      </c>
      <c r="AD65" s="281"/>
      <c r="AE65" s="292">
        <f t="shared" si="3"/>
        <v>0</v>
      </c>
      <c r="AF65" s="283">
        <f>IF($C47="","",'m glavni 45 +'!$C$47)</f>
        <v>0</v>
      </c>
      <c r="AG65" s="285" t="str">
        <f>UPPER(IF($D$47="","",VLOOKUP($D$47,'[3]m glavni turnir žrebna lista'!$A$7:$R$38,3)))</f>
        <v>TRBEŽNIK MATJAŽ</v>
      </c>
      <c r="AH65" s="285" t="str">
        <f>PROPER(IF($D$47="","",VLOOKUP($D$47,'[3]m glavni turnir žrebna lista'!$A$7:$R$38,4)))</f>
        <v/>
      </c>
      <c r="AI65" s="285" t="str">
        <f>UPPER(IF($D$47="","",VLOOKUP($D$47,'[3]m glavni turnir žrebna lista'!$A$7:$R$38,5)))</f>
        <v/>
      </c>
      <c r="AJ65" s="292">
        <f t="shared" si="4"/>
        <v>0</v>
      </c>
    </row>
    <row r="66" spans="1:36" s="234" customFormat="1" ht="9.6" customHeight="1">
      <c r="A66" s="239"/>
      <c r="B66" s="240"/>
      <c r="C66" s="240"/>
      <c r="D66" s="256"/>
      <c r="E66" s="241"/>
      <c r="F66" s="241"/>
      <c r="G66" s="242"/>
      <c r="H66" s="227"/>
      <c r="I66" s="257"/>
      <c r="J66" s="243" t="s">
        <v>87</v>
      </c>
      <c r="K66" s="258"/>
      <c r="L66" s="259" t="str">
        <f>UPPER(IF(OR(K66="a",K66="as"),J64,IF(OR(K66="b",K66="bs"),J68,)))</f>
        <v/>
      </c>
      <c r="M66" s="271">
        <f>IF(OR(K66="a",K66="as"),K64,IF(OR(K66="b",K66="bs"),K68,))</f>
        <v>0</v>
      </c>
      <c r="N66" s="261"/>
      <c r="O66" s="262"/>
      <c r="P66" s="309" t="s">
        <v>101</v>
      </c>
      <c r="Q66" s="310" t="str">
        <f>IF($C$2="B turnir",8,IF($Q$63=1,240,IF($Q$63=2,120,IF($Q$63=3,80,""))))</f>
        <v/>
      </c>
      <c r="R66" s="233"/>
      <c r="S66" s="300"/>
      <c r="U66" s="180" t="str">
        <f>IF(OR(K66="a",K66="as"),U64,IF(OR(K66="b",K66="bs"),U68,""))</f>
        <v/>
      </c>
      <c r="V66" s="285">
        <v>22</v>
      </c>
      <c r="W66" s="285" t="str">
        <f>UPPER(IF($D$49="","",VLOOKUP($D$49,'[3]m glavni turnir žrebna lista'!$A$7:$R$38,3)))</f>
        <v>MISAJLOVSKI JORDAN</v>
      </c>
      <c r="X66" s="285" t="str">
        <f>PROPER(IF($D$49="","",VLOOKUP($D$49,'[3]m glavni turnir žrebna lista'!$A$7:$R$38,4)))</f>
        <v/>
      </c>
      <c r="Y66" s="281" t="str">
        <f>IF(W66="","",IF($U$48&lt;&gt;$U$49,"",IF($J$49="bb",1,IF($J$49="","0",$I$47))))</f>
        <v/>
      </c>
      <c r="Z66" s="281" t="str">
        <f>IF($W$45="","",IF($U$50&lt;&gt;$U$49,"",IF($L$51="bb",1,IF($L$51="","0",$K$52))))</f>
        <v/>
      </c>
      <c r="AA66" s="281" t="str">
        <f>IF($W$45="","",IF($U$46&lt;&gt;$U$49,"",IF($N$47="bb",1,IF($N$47="","0",$M$42))))</f>
        <v/>
      </c>
      <c r="AB66" s="281" t="str">
        <f>IF($W$45="","",IF($U$54&lt;&gt;$U$49,"",IF($P$55="bb",1,IF($P$55="","0",$O$62))))</f>
        <v/>
      </c>
      <c r="AC66" s="281" t="str">
        <f>IF($W$45="","",IF($U$38&lt;&gt;$U$49,"",IF($P$39="bb",1,IF($P$39="","0",$Q$22))))</f>
        <v/>
      </c>
      <c r="AD66" s="281"/>
      <c r="AE66" s="292">
        <f t="shared" si="3"/>
        <v>0</v>
      </c>
      <c r="AF66" s="283">
        <f>IF($C49="","",'m glavni 45 +'!$C$49)</f>
        <v>0</v>
      </c>
      <c r="AG66" s="285" t="str">
        <f>UPPER(IF($D$49="","",VLOOKUP($D$49,'[3]m glavni turnir žrebna lista'!$A$7:$R$38,3)))</f>
        <v>MISAJLOVSKI JORDAN</v>
      </c>
      <c r="AH66" s="285" t="str">
        <f>PROPER(IF($D$49="","",VLOOKUP($D$49,'[3]m glavni turnir žrebna lista'!$A$7:$R$38,4)))</f>
        <v/>
      </c>
      <c r="AI66" s="285" t="str">
        <f>UPPER(IF($D$49="","",VLOOKUP($D49,'[3]m glavni turnir žrebna lista'!$A$7:$R$38,5)))</f>
        <v/>
      </c>
      <c r="AJ66" s="292">
        <f t="shared" si="4"/>
        <v>0</v>
      </c>
    </row>
    <row r="67" spans="1:36" s="234" customFormat="1" ht="9.6" customHeight="1">
      <c r="A67" s="239">
        <v>31</v>
      </c>
      <c r="B67" s="251" t="str">
        <f>IF($D67="","",VLOOKUP($D67,'[3]m glavni turnir žrebna lista'!$A$7:$R$38,17))</f>
        <v/>
      </c>
      <c r="C67" s="251" t="str">
        <f>IF($D67="","",VLOOKUP($D67,'[3]m glavni turnir žrebna lista'!$A$7:$R$38,2))</f>
        <v/>
      </c>
      <c r="D67" s="225"/>
      <c r="E67" s="252" t="s">
        <v>3</v>
      </c>
      <c r="F67" s="252" t="str">
        <f>PROPER(IF($D67="","",VLOOKUP($D67,'[3]m glavni turnir žrebna lista'!$A$7:$R$38,4)))</f>
        <v/>
      </c>
      <c r="G67" s="252"/>
      <c r="H67" s="252" t="str">
        <f>IF($D67="","",VLOOKUP($D67,'[3]m glavni turnir žrebna lista'!$A$7:$R$38,5))</f>
        <v/>
      </c>
      <c r="I67" s="226" t="str">
        <f>IF($D67="","",VLOOKUP($D67,'[3]m glavni turnir žrebna lista'!$A$7:$R$38,14))</f>
        <v/>
      </c>
      <c r="J67" s="227"/>
      <c r="K67" s="264"/>
      <c r="L67" s="254"/>
      <c r="M67" s="262"/>
      <c r="N67" s="261"/>
      <c r="O67" s="262"/>
      <c r="P67" s="309" t="s">
        <v>102</v>
      </c>
      <c r="Q67" s="310" t="str">
        <f>IF($C$2="B turnir",4,IF($Q$63=1,120,IF($Q$63=2,60,IF($Q$63=3,40,""))))</f>
        <v/>
      </c>
      <c r="R67" s="233"/>
      <c r="S67" s="300"/>
      <c r="U67" s="180" t="str">
        <f>IF($D67="","",VLOOKUP($D67,'[3]m glavni turnir žrebna lista'!$A$7:$R$38,2))</f>
        <v/>
      </c>
      <c r="V67" s="285">
        <v>23</v>
      </c>
      <c r="W67" s="285" t="str">
        <f>UPPER(IF($D$51="","",VLOOKUP($D$51,'[3]m glavni turnir žrebna lista'!$A$7:$R$38,3)))</f>
        <v/>
      </c>
      <c r="X67" s="285" t="str">
        <f>PROPER(IF($D$51="","",VLOOKUP($D$51,'[3]m glavni turnir žrebna lista'!$A$7:$R$38,4)))</f>
        <v/>
      </c>
      <c r="Y67" s="281" t="str">
        <f>IF(W67="","",IF($U$52&lt;&gt;$U$51,"",IF($J$53="bb",1,IF($J$53="","0",$I$53))))</f>
        <v/>
      </c>
      <c r="Z67" s="281" t="str">
        <f>IF($W$45="","",IF($U$50&lt;&gt;$U$51,"",IF($L$51="bb",1,IF($L$51="","0",$K$48))))</f>
        <v>0</v>
      </c>
      <c r="AA67" s="281" t="str">
        <f>IF($W$45="","",IF($U$46&lt;&gt;$U$51,"",IF($N$47="bb",1,IF($N$47="","0",$M$42))))</f>
        <v>0</v>
      </c>
      <c r="AB67" s="281" t="str">
        <f>IF($W$45="","",IF($U$54&lt;&gt;$U$51,"",IF($P$55="bb",1,IF($P$55="","0",$O$62))))</f>
        <v>0</v>
      </c>
      <c r="AC67" s="281" t="str">
        <f>IF($W$45="","",IF($U$38&lt;&gt;$U$51,"",IF($P$39="bb",1,IF($P$39="","0",$Q$22))))</f>
        <v>0</v>
      </c>
      <c r="AD67" s="281"/>
      <c r="AE67" s="292">
        <f t="shared" si="3"/>
        <v>0</v>
      </c>
      <c r="AF67" s="283" t="str">
        <f>IF($C51="","",'m glavni 45 +'!$C$51)</f>
        <v/>
      </c>
      <c r="AG67" s="285" t="str">
        <f>UPPER(IF($D$51="","",VLOOKUP($D$51,'[3]m glavni turnir žrebna lista'!$A$7:$R$38,3)))</f>
        <v/>
      </c>
      <c r="AH67" s="285" t="str">
        <f>PROPER(IF($D$51="","",VLOOKUP($D$51,'[3]m glavni turnir žrebna lista'!$A$7:$R$38,4)))</f>
        <v/>
      </c>
      <c r="AI67" s="285" t="str">
        <f>UPPER(IF($D$51="","",VLOOKUP($D$51,'[3]m glavni turnir žrebna lista'!$A$7:$R$38,5)))</f>
        <v/>
      </c>
      <c r="AJ67" s="292">
        <f t="shared" si="4"/>
        <v>0</v>
      </c>
    </row>
    <row r="68" spans="1:36" s="234" customFormat="1" ht="9.6" customHeight="1">
      <c r="A68" s="239"/>
      <c r="B68" s="240"/>
      <c r="C68" s="240"/>
      <c r="D68" s="240"/>
      <c r="E68" s="241"/>
      <c r="F68" s="241"/>
      <c r="G68" s="242"/>
      <c r="H68" s="243" t="s">
        <v>87</v>
      </c>
      <c r="I68" s="244"/>
      <c r="J68" s="245" t="s">
        <v>131</v>
      </c>
      <c r="K68" s="266">
        <f>IF(OR(I68="a",I68="as"),I67,IF(OR(I68="b",I68="bs"),I69,))</f>
        <v>0</v>
      </c>
      <c r="L68" s="227"/>
      <c r="M68" s="262"/>
      <c r="N68" s="261"/>
      <c r="O68" s="262"/>
      <c r="P68" s="309" t="s">
        <v>104</v>
      </c>
      <c r="Q68" s="310" t="str">
        <f>IF($C$2="B turnir",2,IF($Q$63=1,60,IF($Q$63=2,30,IF($Q$63=3,20,""))))</f>
        <v/>
      </c>
      <c r="R68" s="233"/>
      <c r="S68" s="300"/>
      <c r="U68" s="180" t="str">
        <f>IF(OR(I68="a",I68="as"),C67,IF(OR(I68="b",I68="bs"),C69,""))</f>
        <v/>
      </c>
      <c r="V68" s="285">
        <v>24</v>
      </c>
      <c r="W68" s="285" t="str">
        <f>UPPER(IF($D$53="","",VLOOKUP($D$53,'[3]m glavni turnir žrebna lista'!$A$7:$R$38,3)))</f>
        <v>GOLOB PETER</v>
      </c>
      <c r="X68" s="285" t="str">
        <f>PROPER(IF($D$53="","",VLOOKUP($D$53,'[3]m glavni turnir žrebna lista'!$A$7:$R$38,4)))</f>
        <v>3</v>
      </c>
      <c r="Y68" s="281" t="str">
        <f>IF(W68="","",IF($U$52&lt;&gt;$U$53,"",IF($J$53="bb",1,IF($J$53="","0",$I$51))))</f>
        <v/>
      </c>
      <c r="Z68" s="281" t="str">
        <f>IF($W$45="","",IF($U$50&lt;&gt;$U$53,"",IF($L$51="bb",1,IF($L$51="","0",$K$48))))</f>
        <v/>
      </c>
      <c r="AA68" s="281" t="str">
        <f>IF($W$45="","",IF($U$46&lt;&gt;$U$53,"",IF($N$47="bb",1,IF($N$47="","0",$M$42))))</f>
        <v/>
      </c>
      <c r="AB68" s="281" t="str">
        <f>IF($W$45="","",IF($U$54&lt;&gt;$U$53,"",IF($P$55="bb",1,IF($P$55="","0",$O$62))))</f>
        <v/>
      </c>
      <c r="AC68" s="281" t="str">
        <f>IF($W$45="","",IF($U$38&lt;&gt;$U$53,"",IF($P$39="bb",1,IF($P$39="","0",$Q$22))))</f>
        <v/>
      </c>
      <c r="AD68" s="281"/>
      <c r="AE68" s="292">
        <f t="shared" si="3"/>
        <v>0</v>
      </c>
      <c r="AF68" s="283">
        <f>IF($C53="","",'m glavni 45 +'!$C$53)</f>
        <v>0</v>
      </c>
      <c r="AG68" s="285" t="str">
        <f>UPPER(IF($D$53="","",VLOOKUP($D$53,'[3]m glavni turnir žrebna lista'!$A$7:$R$38,3)))</f>
        <v>GOLOB PETER</v>
      </c>
      <c r="AH68" s="285" t="str">
        <f>PROPER(IF($D$53="","",VLOOKUP($D$53,'[3]m glavni turnir žrebna lista'!$A$7:$R$38,4)))</f>
        <v>3</v>
      </c>
      <c r="AI68" s="285" t="str">
        <f>UPPER(IF($D$53="","",VLOOKUP($D$53,'[3]m glavni turnir žrebna lista'!$A$7:$R$38,5)))</f>
        <v/>
      </c>
      <c r="AJ68" s="292">
        <f t="shared" si="4"/>
        <v>0</v>
      </c>
    </row>
    <row r="69" spans="1:36" s="234" customFormat="1" ht="9.6" customHeight="1">
      <c r="A69" s="223">
        <v>32</v>
      </c>
      <c r="B69" s="224">
        <f>IF($D69="","",VLOOKUP($D69,'[3]m glavni turnir žrebna lista'!$A$7:$R$38,17))</f>
        <v>0</v>
      </c>
      <c r="C69" s="224">
        <f>IF($D69="","",VLOOKUP($D69,'[3]m glavni turnir žrebna lista'!$A$7:$R$38,2))</f>
        <v>0</v>
      </c>
      <c r="D69" s="225">
        <v>2</v>
      </c>
      <c r="E69" s="224" t="str">
        <f>UPPER(IF($D69="","",VLOOKUP($D69,'[3]m glavni turnir žrebna lista'!$A$7:$R$38,3)))</f>
        <v>LEBER SEBASTJAN</v>
      </c>
      <c r="F69" s="224" t="str">
        <f>PROPER(IF($D69="","",VLOOKUP($D69,'[3]m glavni turnir žrebna lista'!$A$7:$R$38,4)))</f>
        <v>2</v>
      </c>
      <c r="G69" s="224"/>
      <c r="H69" s="224">
        <f>IF($D69="","",VLOOKUP($D69,'[3]m glavni turnir žrebna lista'!$A$7:$R$38,5))</f>
        <v>0</v>
      </c>
      <c r="I69" s="253">
        <f>IF($D69="","",VLOOKUP($D69,'[3]m glavni turnir žrebna lista'!$A$7:$R$38,14))</f>
        <v>0</v>
      </c>
      <c r="J69" s="254"/>
      <c r="K69" s="228"/>
      <c r="L69" s="227"/>
      <c r="M69" s="228"/>
      <c r="N69" s="229"/>
      <c r="O69" s="230"/>
      <c r="P69" s="309" t="s">
        <v>105</v>
      </c>
      <c r="Q69" s="310" t="str">
        <f>IF($C$2="B turnir",1,IF($Q$63=1,30,IF($Q$63=2,15,IF($Q$63=3,10,""))))</f>
        <v/>
      </c>
      <c r="R69" s="233"/>
      <c r="U69" s="180">
        <f>IF($D69="","",VLOOKUP($D69,'[3]m glavni turnir žrebna lista'!$A$7:$R$38,2))</f>
        <v>0</v>
      </c>
      <c r="V69" s="285">
        <v>25</v>
      </c>
      <c r="W69" s="285" t="str">
        <f>UPPER(IF($D$55="","",VLOOKUP($D$55,'[3]m glavni turnir žrebna lista'!$A$7:$R$38,3)))</f>
        <v>PERKOVIČ IGOR</v>
      </c>
      <c r="X69" s="285" t="str">
        <f>PROPER(IF($D$55="","",VLOOKUP($D$55,'[3]m glavni turnir žrebna lista'!$A$7:$R$38,4)))</f>
        <v>7</v>
      </c>
      <c r="Y69" s="281" t="str">
        <f>IF(W69="","",IF($U$56&lt;&gt;$U$55,"",IF($J$57="bb",1,IF($J$57="","0",$I$57))))</f>
        <v>0</v>
      </c>
      <c r="Z69" s="281" t="str">
        <f>IF($W$45="","",IF($U$58&lt;&gt;$U$55,"",IF($L$59="bb",1,IF($L$59="","0",$K$60))))</f>
        <v/>
      </c>
      <c r="AA69" s="281" t="str">
        <f>IF($W$45="","",IF($U$62&lt;&gt;$U$55,"",IF($N$63="bb",1,IF($N$63="","0",$M$66))))</f>
        <v/>
      </c>
      <c r="AB69" s="281" t="str">
        <f>IF($W$45="","",IF($U$54&lt;&gt;$U$55,"",IF($P$55="bb",1,IF($P$55="","0",$O$46))))</f>
        <v/>
      </c>
      <c r="AC69" s="281" t="str">
        <f>IF($W$45="","",IF($U$38&lt;&gt;$U$55,"",IF($P$39="bb",1,IF($P$39="","0",$Q$22))))</f>
        <v/>
      </c>
      <c r="AD69" s="281"/>
      <c r="AE69" s="292">
        <f t="shared" si="3"/>
        <v>0</v>
      </c>
      <c r="AF69" s="283">
        <f>IF($C55="","",'m glavni 45 +'!$C$55)</f>
        <v>0</v>
      </c>
      <c r="AG69" s="285" t="str">
        <f>UPPER(IF($D$55="","",VLOOKUP($D$55,'[3]m glavni turnir žrebna lista'!$A$7:$R$38,3)))</f>
        <v>PERKOVIČ IGOR</v>
      </c>
      <c r="AH69" s="285" t="str">
        <f>PROPER(IF($D$55="","",VLOOKUP($D$55,'[3]m glavni turnir žrebna lista'!$A$7:$R$38,4)))</f>
        <v>7</v>
      </c>
      <c r="AI69" s="285" t="str">
        <f>UPPER(IF($D$55="","",VLOOKUP($D$55,'[3]m glavni turnir žrebna lista'!$A$7:$R$38,5)))</f>
        <v/>
      </c>
      <c r="AJ69" s="292">
        <f t="shared" si="4"/>
        <v>0</v>
      </c>
    </row>
    <row r="70" spans="1:36" s="317" customFormat="1" ht="9" customHeight="1">
      <c r="A70" s="311"/>
      <c r="B70" s="311"/>
      <c r="C70" s="311"/>
      <c r="D70" s="311"/>
      <c r="E70" s="312"/>
      <c r="F70" s="312"/>
      <c r="G70" s="312"/>
      <c r="H70" s="312"/>
      <c r="I70" s="313"/>
      <c r="J70" s="314"/>
      <c r="K70" s="315"/>
      <c r="L70" s="314"/>
      <c r="M70" s="315"/>
      <c r="N70" s="314"/>
      <c r="O70" s="315"/>
      <c r="P70" s="314"/>
      <c r="Q70" s="315"/>
      <c r="R70" s="316"/>
      <c r="U70" s="180"/>
      <c r="V70" s="285">
        <v>26</v>
      </c>
      <c r="W70" s="285" t="str">
        <f>UPPER(IF($D$57="","",VLOOKUP($D$57,'[3]m glavni turnir žrebna lista'!$A$7:$R$38,3)))</f>
        <v/>
      </c>
      <c r="X70" s="285" t="str">
        <f>PROPER(IF($D$57="","",VLOOKUP($D$57,'[3]m glavni turnir žrebna lista'!$A$7:$R$38,4)))</f>
        <v/>
      </c>
      <c r="Y70" s="281" t="str">
        <f>IF(W70="","",IF($U$56&lt;&gt;$U$57,"",IF($J$57="bb",1,IF($J$57="","0",$I$55))))</f>
        <v/>
      </c>
      <c r="Z70" s="281" t="str">
        <f>IF($W$45="","",IF($U$58&lt;&gt;$U$57,"",IF($L$59="bb",1,IF($L$59="","0",$K$60))))</f>
        <v>0</v>
      </c>
      <c r="AA70" s="281" t="str">
        <f>IF($W$45="","",IF($U$62&lt;&gt;$U$57,"",IF($N$63="bb",1,IF($N$63="","0",$M$66))))</f>
        <v>0</v>
      </c>
      <c r="AB70" s="281" t="str">
        <f>IF($W$45="","",IF($U$54&lt;&gt;$U$57,"",IF($P$55="bb",1,IF($P$55="","0",$O$46))))</f>
        <v>0</v>
      </c>
      <c r="AC70" s="281" t="str">
        <f>IF($W$45="","",IF($U$38&lt;&gt;$U$57,"",IF($P$39="bb",1,IF($P$39="","0",$Q$22))))</f>
        <v>0</v>
      </c>
      <c r="AD70" s="281"/>
      <c r="AE70" s="292">
        <f t="shared" si="3"/>
        <v>0</v>
      </c>
      <c r="AF70" s="283" t="str">
        <f>IF($C57="","",'m glavni 45 +'!$C$57)</f>
        <v/>
      </c>
      <c r="AG70" s="285" t="str">
        <f>UPPER(IF($D$57="","",VLOOKUP($D$57,'[3]m glavni turnir žrebna lista'!$A$7:$R$38,3)))</f>
        <v/>
      </c>
      <c r="AH70" s="285" t="str">
        <f>PROPER(IF($D$57="","",VLOOKUP($D$57,'[3]m glavni turnir žrebna lista'!$A$7:$R$38,4)))</f>
        <v/>
      </c>
      <c r="AI70" s="285" t="str">
        <f>UPPER(IF($D$57="","",VLOOKUP($D$57,'[3]m glavni turnir žrebna lista'!$A$7:$R$38,5)))</f>
        <v/>
      </c>
      <c r="AJ70" s="292">
        <f t="shared" si="4"/>
        <v>0</v>
      </c>
    </row>
    <row r="71" spans="1:36" s="330" customFormat="1" ht="9" customHeight="1">
      <c r="A71" s="318" t="s">
        <v>106</v>
      </c>
      <c r="B71" s="319"/>
      <c r="C71" s="320"/>
      <c r="D71" s="321" t="s">
        <v>107</v>
      </c>
      <c r="E71" s="322" t="s">
        <v>108</v>
      </c>
      <c r="F71" s="321"/>
      <c r="G71" s="321" t="s">
        <v>109</v>
      </c>
      <c r="H71" s="323" t="s">
        <v>110</v>
      </c>
      <c r="I71" s="324" t="s">
        <v>107</v>
      </c>
      <c r="J71" s="322" t="s">
        <v>111</v>
      </c>
      <c r="K71" s="325"/>
      <c r="L71" s="326" t="s">
        <v>112</v>
      </c>
      <c r="M71" s="327"/>
      <c r="N71" s="328" t="s">
        <v>113</v>
      </c>
      <c r="O71" s="329"/>
      <c r="P71" s="529"/>
      <c r="Q71" s="530"/>
      <c r="U71" s="180"/>
      <c r="V71" s="285">
        <v>27</v>
      </c>
      <c r="W71" s="285" t="str">
        <f>UPPER(IF($D$59="","",VLOOKUP($D$59,'[3]m glavni turnir žrebna lista'!$A$7:$R$38,3)))</f>
        <v>BLATNIK MATJAŽ</v>
      </c>
      <c r="X71" s="285" t="str">
        <f>PROPER(IF($D$59="","",VLOOKUP($D$59,'[3]m glavni turnir žrebna lista'!$A$7:$R$38,4)))</f>
        <v/>
      </c>
      <c r="Y71" s="281" t="str">
        <f>IF(W71="","",IF($U$60&lt;&gt;$U$59,"",IF($J$61="bb",1,IF($J$61="","0",$I$61))))</f>
        <v/>
      </c>
      <c r="Z71" s="281" t="str">
        <f>IF($W$45="","",IF($U$58&lt;&gt;$U$59,"",IF($L$59="bb",1,IF($L$59="","0",$K$56))))</f>
        <v/>
      </c>
      <c r="AA71" s="281" t="str">
        <f>IF($W$45="","",IF($U$62&lt;&gt;$U$59,"",IF($N$63="bb",1,IF($N$63="","0",$M$66))))</f>
        <v/>
      </c>
      <c r="AB71" s="281" t="str">
        <f>IF($W$45="","",IF($U$54&lt;&gt;$U$59,"",IF($P$55="bb",1,IF($P$55="","0",$O$46))))</f>
        <v/>
      </c>
      <c r="AC71" s="281" t="str">
        <f>IF($W$45="","",IF($U$38&lt;&gt;$U$59,"",IF($P$39="bb",1,IF($P$39="","0",$Q$22))))</f>
        <v/>
      </c>
      <c r="AD71" s="281"/>
      <c r="AE71" s="292">
        <f t="shared" si="3"/>
        <v>0</v>
      </c>
      <c r="AF71" s="283">
        <f>IF($C59="","",'m glavni 45 +'!$C$59)</f>
        <v>0</v>
      </c>
      <c r="AG71" s="285" t="str">
        <f>UPPER(IF($D$59="","",VLOOKUP($D$59,'[3]m glavni turnir žrebna lista'!$A$7:$R$38,3)))</f>
        <v>BLATNIK MATJAŽ</v>
      </c>
      <c r="AH71" s="285" t="str">
        <f>PROPER(IF($D$59="","",VLOOKUP($D$59,'[3]m glavni turnir žrebna lista'!$A$7:$R$38,4)))</f>
        <v/>
      </c>
      <c r="AI71" s="285" t="str">
        <f>UPPER(IF($D$59="","",VLOOKUP($D$59,'[3]m glavni turnir žrebna lista'!$A$7:$R$38,5)))</f>
        <v/>
      </c>
      <c r="AJ71" s="292">
        <f t="shared" si="4"/>
        <v>0</v>
      </c>
    </row>
    <row r="72" spans="1:36" s="330" customFormat="1" ht="9" customHeight="1">
      <c r="A72" s="331" t="s">
        <v>65</v>
      </c>
      <c r="B72" s="332"/>
      <c r="C72" s="333"/>
      <c r="D72" s="202">
        <v>1</v>
      </c>
      <c r="E72" s="334" t="str">
        <f>UPPER(IF($D72="","",VLOOKUP($D72,'[3]m glavni turnir žrebna lista'!$A$7:$R$38,3)))</f>
        <v>KOMAR TONE</v>
      </c>
      <c r="F72" s="203"/>
      <c r="G72" s="335">
        <f>IF($D72="","",VLOOKUP($D72,'[3]m glavni turnir žrebna lista'!$A$7:$R$38,10))</f>
        <v>0</v>
      </c>
      <c r="H72" s="335">
        <f>IF($D72="","",VLOOKUP($D72,'[3]m glavni turnir žrebna lista'!$A$7:$R$38,14))</f>
        <v>0</v>
      </c>
      <c r="I72" s="336" t="s">
        <v>114</v>
      </c>
      <c r="J72" s="332"/>
      <c r="K72" s="206"/>
      <c r="L72" s="332"/>
      <c r="M72" s="337"/>
      <c r="N72" s="338" t="s">
        <v>115</v>
      </c>
      <c r="O72" s="339"/>
      <c r="P72" s="340"/>
      <c r="Q72" s="337"/>
      <c r="U72" s="180"/>
      <c r="V72" s="285">
        <v>28</v>
      </c>
      <c r="W72" s="285" t="str">
        <f>UPPER(IF($D$61="","",VLOOKUP($D$61,'[3]m glavni turnir žrebna lista'!$A$7:$R$38,3)))</f>
        <v>BOLHAR GAŠPER</v>
      </c>
      <c r="X72" s="285" t="str">
        <f>PROPER(IF($D$61="","",VLOOKUP($D$61,'[3]m glavni turnir žrebna lista'!$A$7:$R$38,4)))</f>
        <v/>
      </c>
      <c r="Y72" s="281" t="str">
        <f>IF(W72="","",IF($U$60&lt;&gt;$U$61,"",IF($J$61="bb",1,IF($J$61="","0",$I$59))))</f>
        <v/>
      </c>
      <c r="Z72" s="281" t="str">
        <f>IF($W$45="","",IF($U$58&lt;&gt;$U$61,"",IF($L$59="bb",1,IF($L$59="","0",$K$56))))</f>
        <v/>
      </c>
      <c r="AA72" s="281" t="str">
        <f>IF($W$45="","",IF($U$62&lt;&gt;$U$61,"",IF($N$63="bb",1,IF($N$63="","0",$M$66))))</f>
        <v/>
      </c>
      <c r="AB72" s="281" t="str">
        <f>IF($W$45="","",IF($U$54&lt;&gt;$U$61,"",IF($P$55="bb",1,IF($P$55="","0",$O$46))))</f>
        <v/>
      </c>
      <c r="AC72" s="281" t="str">
        <f>IF($W$45="","",IF($U$38&lt;&gt;$U$61,"",IF($P$39="bb",1,IF($P$39="","0",$Q$22))))</f>
        <v/>
      </c>
      <c r="AD72" s="281"/>
      <c r="AE72" s="292">
        <f t="shared" si="3"/>
        <v>0</v>
      </c>
      <c r="AF72" s="283">
        <f>IF($C61="","",'m glavni 45 +'!$C$61)</f>
        <v>0</v>
      </c>
      <c r="AG72" s="285" t="str">
        <f>UPPER(IF($D$61="","",VLOOKUP($D$61,'[3]m glavni turnir žrebna lista'!$A$7:$R$38,3)))</f>
        <v>BOLHAR GAŠPER</v>
      </c>
      <c r="AH72" s="285" t="str">
        <f>PROPER(IF($D$61="","",VLOOKUP($D$61,'[3]m glavni turnir žrebna lista'!$A$7:$R$38,4)))</f>
        <v/>
      </c>
      <c r="AI72" s="285" t="str">
        <f>UPPER(IF($D$61="","",VLOOKUP($D$61,'[3]m glavni turnir žrebna lista'!$A$7:$R$38,5)))</f>
        <v/>
      </c>
      <c r="AJ72" s="292">
        <f t="shared" si="4"/>
        <v>0</v>
      </c>
    </row>
    <row r="73" spans="1:36" s="330" customFormat="1" ht="9" customHeight="1">
      <c r="A73" s="518"/>
      <c r="B73" s="519"/>
      <c r="C73" s="341"/>
      <c r="D73" s="202">
        <v>2</v>
      </c>
      <c r="E73" s="334" t="str">
        <f>UPPER(IF($D73="","",VLOOKUP($D73,'[3]m glavni turnir žrebna lista'!$A$7:$R$38,3)))</f>
        <v>LEBER SEBASTJAN</v>
      </c>
      <c r="F73" s="202"/>
      <c r="G73" s="335">
        <f>IF($D73="","",VLOOKUP($D73,'[3]m glavni turnir žrebna lista'!$A$7:$R$38,10))</f>
        <v>0</v>
      </c>
      <c r="H73" s="335">
        <f>IF($D73="","",VLOOKUP($D73,'[3]m glavni turnir žrebna lista'!$A$7:$R$38,14))</f>
        <v>0</v>
      </c>
      <c r="I73" s="342" t="s">
        <v>2</v>
      </c>
      <c r="J73" s="343"/>
      <c r="K73" s="206"/>
      <c r="L73" s="332"/>
      <c r="M73" s="337"/>
      <c r="N73" s="344"/>
      <c r="O73" s="345"/>
      <c r="P73" s="346"/>
      <c r="Q73" s="347"/>
      <c r="U73" s="180"/>
      <c r="V73" s="285">
        <v>29</v>
      </c>
      <c r="W73" s="285" t="str">
        <f>UPPER(IF($D$63="","",VLOOKUP($D$63,'[3]m glavni turnir žrebna lista'!$A$7:$R$38,3)))</f>
        <v/>
      </c>
      <c r="X73" s="285" t="str">
        <f>PROPER(IF($D$63="","",VLOOKUP($D$63,'[3]m glavni turnir žrebna lista'!$A$7:$R$38,4)))</f>
        <v/>
      </c>
      <c r="Y73" s="281" t="str">
        <f>IF(W73="","",IF($U$64&lt;&gt;$U$63,"",IF($J$65="bb",1,IF($J$65="","0",$I$65))))</f>
        <v/>
      </c>
      <c r="Z73" s="281" t="str">
        <f>IF($W$45="","",IF($U$66&lt;&gt;$U$63,"",IF($L$67="bb",1,IF($L$67="","0",$K$68))))</f>
        <v>0</v>
      </c>
      <c r="AA73" s="281" t="str">
        <f>IF($W$45="","",IF($U$62&lt;&gt;$U$63,"",IF($N$63="bb",1,IF($N$63="","0",$M$58))))</f>
        <v>0</v>
      </c>
      <c r="AB73" s="281" t="str">
        <f>IF($W$45="","",IF($U$54&lt;&gt;$U$63,"",IF($P$55="bb",1,IF($P$55="","0",$O$46))))</f>
        <v>0</v>
      </c>
      <c r="AC73" s="281" t="str">
        <f>IF($W$45="","",IF($U$38&lt;&gt;$U$63,"",IF($P$39="bb",1,IF($P$39="","0",$Q$22))))</f>
        <v>0</v>
      </c>
      <c r="AD73" s="281"/>
      <c r="AE73" s="292">
        <f t="shared" si="3"/>
        <v>0</v>
      </c>
      <c r="AF73" s="283" t="str">
        <f>IF($C63="","",'m glavni 45 +'!$C$63)</f>
        <v/>
      </c>
      <c r="AG73" s="285" t="str">
        <f>UPPER(IF($D$63="","",VLOOKUP($D$63,'[3]m glavni turnir žrebna lista'!$A$7:$R$38,3)))</f>
        <v/>
      </c>
      <c r="AH73" s="285" t="str">
        <f>PROPER(IF($D$63="","",VLOOKUP($D$63,'[3]m glavni turnir žrebna lista'!$A$7:$R$38,4)))</f>
        <v/>
      </c>
      <c r="AI73" s="285" t="str">
        <f>UPPER(IF($D$63="","",VLOOKUP($D$63,'[3]m glavni turnir žrebna lista'!$A$7:$R$38,5)))</f>
        <v/>
      </c>
      <c r="AJ73" s="292">
        <f t="shared" si="4"/>
        <v>0</v>
      </c>
    </row>
    <row r="74" spans="1:36" s="330" customFormat="1" ht="9" customHeight="1">
      <c r="A74" s="348"/>
      <c r="B74" s="349"/>
      <c r="C74" s="350"/>
      <c r="D74" s="202">
        <v>3</v>
      </c>
      <c r="E74" s="334" t="str">
        <f>UPPER(IF($D74="","",VLOOKUP($D74,'[3]m glavni turnir žrebna lista'!$A$7:$R$38,3)))</f>
        <v>GOLOB PETER</v>
      </c>
      <c r="F74" s="202"/>
      <c r="G74" s="335">
        <f>IF($D74="","",VLOOKUP($D74,'[3]m glavni turnir žrebna lista'!$A$7:$R$38,10))</f>
        <v>0</v>
      </c>
      <c r="H74" s="335">
        <f>IF($D74="","",VLOOKUP($D74,'[3]m glavni turnir žrebna lista'!$A$7:$R$38,14))</f>
        <v>0</v>
      </c>
      <c r="I74" s="342" t="s">
        <v>4</v>
      </c>
      <c r="J74" s="343"/>
      <c r="K74" s="206"/>
      <c r="L74" s="332"/>
      <c r="M74" s="337"/>
      <c r="N74" s="338" t="s">
        <v>116</v>
      </c>
      <c r="O74" s="339"/>
      <c r="P74" s="340"/>
      <c r="Q74" s="337"/>
      <c r="U74" s="180"/>
      <c r="V74" s="285">
        <v>30</v>
      </c>
      <c r="W74" s="285" t="str">
        <f>UPPER(IF($D$65="","",VLOOKUP($D$65,'[3]m glavni turnir žrebna lista'!$A$7:$R$38,3)))</f>
        <v>BLATNIK DUŠAN</v>
      </c>
      <c r="X74" s="285" t="str">
        <f>PROPER(IF($D$65="","",VLOOKUP($D$65,'[3]m glavni turnir žrebna lista'!$A$7:$R$38,4)))</f>
        <v/>
      </c>
      <c r="Y74" s="281" t="str">
        <f>IF(W74="","",IF($U$64&lt;&gt;$U$65,"",IF($J$65="bb",1,IF($J$65="","0",$I$63))))</f>
        <v/>
      </c>
      <c r="Z74" s="281" t="str">
        <f>IF($W$45="","",IF($U$66&lt;&gt;$U$65,"",IF($L$67="bb",1,IF($L$67="","0",$K$68))))</f>
        <v/>
      </c>
      <c r="AA74" s="281" t="str">
        <f>IF($W$45="","",IF($U$62&lt;&gt;$U$65,"",IF($N$63="bb",1,IF($N$63="","0",$M$58))))</f>
        <v/>
      </c>
      <c r="AB74" s="281" t="str">
        <f>IF($W$45="","",IF($U$54&lt;&gt;$U$65,"",IF($P$55="bb",1,IF($P$55="","0",$O$46))))</f>
        <v/>
      </c>
      <c r="AC74" s="281" t="str">
        <f>IF($W$45="","",IF($U$38&lt;&gt;$U$65,"",IF($P$39="bb",1,IF($P$39="","0",$Q$22))))</f>
        <v/>
      </c>
      <c r="AD74" s="281"/>
      <c r="AE74" s="292">
        <f t="shared" si="3"/>
        <v>0</v>
      </c>
      <c r="AF74" s="283">
        <f>IF($C65="","",'m glavni 45 +'!$C$65)</f>
        <v>0</v>
      </c>
      <c r="AG74" s="285" t="str">
        <f>UPPER(IF($D$65="","",VLOOKUP($D$65,'[3]m glavni turnir žrebna lista'!$A$7:$R$38,3)))</f>
        <v>BLATNIK DUŠAN</v>
      </c>
      <c r="AH74" s="285" t="str">
        <f>PROPER(IF($D$65="","",VLOOKUP($D$65,'[3]m glavni turnir žrebna lista'!$A$7:$R$38,4)))</f>
        <v/>
      </c>
      <c r="AI74" s="285" t="str">
        <f>UPPER(IF($D$65="","",VLOOKUP($D$65,'[3]m glavni turnir žrebna lista'!$A$7:$R$38,5)))</f>
        <v/>
      </c>
      <c r="AJ74" s="292">
        <f t="shared" si="4"/>
        <v>0</v>
      </c>
    </row>
    <row r="75" spans="1:36" s="330" customFormat="1" ht="9" customHeight="1">
      <c r="A75" s="351"/>
      <c r="B75" s="201"/>
      <c r="C75" s="333"/>
      <c r="D75" s="202">
        <v>4</v>
      </c>
      <c r="E75" s="334" t="str">
        <f>UPPER(IF($D75="","",VLOOKUP($D75,'[3]m glavni turnir žrebna lista'!$A$7:$R$38,3)))</f>
        <v>ALOJZ AŠIČ</v>
      </c>
      <c r="F75" s="202"/>
      <c r="G75" s="335">
        <f>IF($D75="","",VLOOKUP($D75,'[3]m glavni turnir žrebna lista'!$A$7:$R$38,10))</f>
        <v>0</v>
      </c>
      <c r="H75" s="335">
        <f>IF($D75="","",VLOOKUP($D75,'[3]m glavni turnir žrebna lista'!$A$7:$R$38,14))</f>
        <v>0</v>
      </c>
      <c r="I75" s="342" t="s">
        <v>5</v>
      </c>
      <c r="J75" s="343"/>
      <c r="K75" s="206"/>
      <c r="L75" s="332"/>
      <c r="M75" s="337"/>
      <c r="N75" s="332" t="s">
        <v>117</v>
      </c>
      <c r="O75" s="206"/>
      <c r="P75" s="332"/>
      <c r="Q75" s="337"/>
      <c r="U75" s="180"/>
      <c r="V75" s="285">
        <v>31</v>
      </c>
      <c r="W75" s="285" t="str">
        <f>UPPER(IF($D$67="","",VLOOKUP($D$67,'[3]m glavni turnir žrebna lista'!$A$7:$R$38,3)))</f>
        <v/>
      </c>
      <c r="X75" s="285" t="str">
        <f>PROPER(IF($D$67="","",VLOOKUP($D$67,'[3]m glavni turnir žrebna lista'!$A$7:$R$38,4)))</f>
        <v/>
      </c>
      <c r="Y75" s="281" t="str">
        <f>IF(W75="","",IF($U$68&lt;&gt;$U$67,"",IF($J$69="bb",1,IF($J$69="","0",$I$69))))</f>
        <v/>
      </c>
      <c r="Z75" s="281" t="str">
        <f>IF($W$45="","",IF($U$66&lt;&gt;$U$67,"",IF($L$67="bb",1,IF($L$67="","0",$K$64))))</f>
        <v>0</v>
      </c>
      <c r="AA75" s="281" t="str">
        <f>IF($W$45="","",IF($U$62&lt;&gt;$U$67,"",IF($N$63="bb",1,IF($N$63="","0",$M$58))))</f>
        <v>0</v>
      </c>
      <c r="AB75" s="281" t="str">
        <f>IF($W$45="","",IF($U$54&lt;&gt;$U$67,"",IF($P$55="bb",1,IF($P$55="","0",$O$46))))</f>
        <v>0</v>
      </c>
      <c r="AC75" s="281" t="str">
        <f>IF($W$45="","",IF($U$38&lt;&gt;$U$67,"",IF($P$39="bb",1,IF($P$39="","0",$Q$22))))</f>
        <v>0</v>
      </c>
      <c r="AD75" s="281"/>
      <c r="AE75" s="292">
        <f t="shared" si="3"/>
        <v>0</v>
      </c>
      <c r="AF75" s="283" t="str">
        <f>IF($C67="","",'m glavni 45 +'!$C$67)</f>
        <v/>
      </c>
      <c r="AG75" s="285" t="str">
        <f>UPPER(IF($D$67="","",VLOOKUP($D$67,'[3]m glavni turnir žrebna lista'!$A$7:$R$38,3)))</f>
        <v/>
      </c>
      <c r="AH75" s="285" t="str">
        <f>PROPER(IF($D$67="","",VLOOKUP($D$67,'[3]m glavni turnir žrebna lista'!$A$7:$R$38,4)))</f>
        <v/>
      </c>
      <c r="AI75" s="285" t="str">
        <f>UPPER(IF($D$67="","",VLOOKUP($D$67,'[3]m glavni turnir žrebna lista'!$A$7:$R$38,5)))</f>
        <v/>
      </c>
      <c r="AJ75" s="292">
        <f t="shared" si="4"/>
        <v>0</v>
      </c>
    </row>
    <row r="76" spans="1:36" s="330" customFormat="1" ht="9" customHeight="1">
      <c r="A76" s="352"/>
      <c r="B76" s="353"/>
      <c r="C76" s="354"/>
      <c r="D76" s="202">
        <v>5</v>
      </c>
      <c r="E76" s="334" t="str">
        <f>UPPER(IF($D76="","",VLOOKUP($D76,'[3]m glavni turnir žrebna lista'!$A$7:$R$38,3)))</f>
        <v>KUKOVICA ROBERT</v>
      </c>
      <c r="F76" s="202"/>
      <c r="G76" s="335">
        <f>IF($D76="","",VLOOKUP($D76,'[3]m glavni turnir žrebna lista'!$A$7:$R$38,10))</f>
        <v>0</v>
      </c>
      <c r="H76" s="335">
        <f>IF($D76="","",VLOOKUP($D76,'[3]m glavni turnir žrebna lista'!$A$7:$R$38,14))</f>
        <v>0</v>
      </c>
      <c r="I76" s="342" t="s">
        <v>6</v>
      </c>
      <c r="J76" s="343"/>
      <c r="K76" s="206"/>
      <c r="L76" s="332"/>
      <c r="M76" s="337"/>
      <c r="N76" s="346"/>
      <c r="O76" s="345"/>
      <c r="P76" s="346"/>
      <c r="Q76" s="347"/>
      <c r="U76" s="180"/>
      <c r="V76" s="285">
        <v>32</v>
      </c>
      <c r="W76" s="285" t="str">
        <f>UPPER(IF($D$69="","",VLOOKUP($D$69,'[3]m glavni turnir žrebna lista'!$A$7:$R$38,3)))</f>
        <v>LEBER SEBASTJAN</v>
      </c>
      <c r="X76" s="285" t="str">
        <f>PROPER(IF($D$69="","",VLOOKUP($D$69,'[3]m glavni turnir žrebna lista'!$A$7:$R$38,4)))</f>
        <v>2</v>
      </c>
      <c r="Y76" s="281" t="str">
        <f>IF(W76="","",IF($U$68&lt;&gt;$U$69,"",IF($J$69="bb",1,IF($J$69="","0",$I$67))))</f>
        <v/>
      </c>
      <c r="Z76" s="281" t="str">
        <f>IF($W$45="","",IF($U$66&lt;&gt;$U$69,"",IF($L$67="bb",1,IF($L$67="","0",$K$64))))</f>
        <v/>
      </c>
      <c r="AA76" s="281" t="str">
        <f>IF($W$45="","",IF($U$62&lt;&gt;$U$69,"",IF($N$63="bb",1,IF($N$63="","0",$M$58))))</f>
        <v/>
      </c>
      <c r="AB76" s="281" t="str">
        <f>IF($W$45="","",IF($U$54&lt;&gt;$U$69,"",IF($P$55="bb",1,IF($P$55="","0",$O$46))))</f>
        <v/>
      </c>
      <c r="AC76" s="281" t="str">
        <f>IF($W$45="","",IF($U$38&lt;&gt;$U$69,"",IF($P$39="bb",1,IF($P$39="","0",$Q$22))))</f>
        <v/>
      </c>
      <c r="AD76" s="281"/>
      <c r="AE76" s="292">
        <f t="shared" si="3"/>
        <v>0</v>
      </c>
      <c r="AF76" s="283">
        <f>IF($C69="","",'m glavni 45 +'!$C$69)</f>
        <v>0</v>
      </c>
      <c r="AG76" s="285" t="str">
        <f>UPPER(IF($D$69="","",VLOOKUP($D$69,'[3]m glavni turnir žrebna lista'!$A$7:$R$38,3)))</f>
        <v>LEBER SEBASTJAN</v>
      </c>
      <c r="AH76" s="285" t="str">
        <f>PROPER(IF($D$69="","",VLOOKUP($D$69,'[3]m glavni turnir žrebna lista'!$A$7:$R$38,4)))</f>
        <v>2</v>
      </c>
      <c r="AI76" s="285" t="str">
        <f>UPPER(IF($D$69="","",VLOOKUP($D$69,'[3]m glavni turnir žrebna lista'!$A$7:$R$38,5)))</f>
        <v/>
      </c>
      <c r="AJ76" s="292">
        <f t="shared" si="4"/>
        <v>0</v>
      </c>
    </row>
    <row r="77" spans="1:36" s="330" customFormat="1" ht="9" customHeight="1">
      <c r="A77" s="331"/>
      <c r="B77" s="332"/>
      <c r="C77" s="333"/>
      <c r="D77" s="202">
        <v>6</v>
      </c>
      <c r="E77" s="334" t="str">
        <f>UPPER(IF($D77="","",VLOOKUP($D77,'[3]m glavni turnir žrebna lista'!$A$7:$R$38,3)))</f>
        <v>RAGUŽ DRAGAN</v>
      </c>
      <c r="F77" s="202"/>
      <c r="G77" s="335">
        <f>IF($D77="","",VLOOKUP($D77,'[3]m glavni turnir žrebna lista'!$A$7:$R$38,10))</f>
        <v>0</v>
      </c>
      <c r="H77" s="335">
        <f>IF($D77="","",VLOOKUP($D77,'[3]m glavni turnir žrebna lista'!$A$7:$R$38,14))</f>
        <v>0</v>
      </c>
      <c r="I77" s="342" t="s">
        <v>7</v>
      </c>
      <c r="J77" s="343"/>
      <c r="K77" s="206"/>
      <c r="L77" s="332"/>
      <c r="M77" s="337"/>
      <c r="N77" s="338" t="s">
        <v>116</v>
      </c>
      <c r="O77" s="339"/>
      <c r="P77" s="340"/>
      <c r="Q77" s="337"/>
      <c r="U77" s="180"/>
      <c r="V77" s="355"/>
      <c r="W77" s="355"/>
      <c r="X77" s="355"/>
      <c r="Y77" s="281">
        <f>COUNTIF(Y45:Y76,"&gt;0")</f>
        <v>0</v>
      </c>
      <c r="Z77" s="281">
        <f aca="true" t="shared" si="5" ref="Z77:AE77">COUNTIF(Z45:Z76,"&gt;0")</f>
        <v>0</v>
      </c>
      <c r="AA77" s="281">
        <f t="shared" si="5"/>
        <v>0</v>
      </c>
      <c r="AB77" s="281">
        <f t="shared" si="5"/>
        <v>0</v>
      </c>
      <c r="AC77" s="281">
        <f t="shared" si="5"/>
        <v>0</v>
      </c>
      <c r="AD77" s="281"/>
      <c r="AE77" s="281">
        <f t="shared" si="5"/>
        <v>0</v>
      </c>
      <c r="AF77" s="283"/>
      <c r="AG77" s="355"/>
      <c r="AH77" s="355"/>
      <c r="AI77" s="355"/>
      <c r="AJ77" s="281">
        <f>COUNTIF(AJ45:AJ76,"&gt;0")</f>
        <v>0</v>
      </c>
    </row>
    <row r="78" spans="1:36" s="330" customFormat="1" ht="9" customHeight="1">
      <c r="A78" s="331"/>
      <c r="B78" s="332"/>
      <c r="C78" s="356"/>
      <c r="D78" s="202">
        <v>7</v>
      </c>
      <c r="E78" s="334" t="str">
        <f>UPPER(IF($D78="","",VLOOKUP($D78,'[3]m glavni turnir žrebna lista'!$A$7:$R$38,3)))</f>
        <v>PERKOVIČ IGOR</v>
      </c>
      <c r="F78" s="202"/>
      <c r="G78" s="335">
        <f>IF($D78="","",VLOOKUP($D78,'[3]m glavni turnir žrebna lista'!$A$7:$R$38,10))</f>
        <v>0</v>
      </c>
      <c r="H78" s="335">
        <f>IF($D78="","",VLOOKUP($D78,'[3]m glavni turnir žrebna lista'!$A$7:$R$38,14))</f>
        <v>0</v>
      </c>
      <c r="I78" s="342" t="s">
        <v>8</v>
      </c>
      <c r="J78" s="343"/>
      <c r="K78" s="206"/>
      <c r="L78" s="332"/>
      <c r="M78" s="337"/>
      <c r="N78" s="332" t="s">
        <v>119</v>
      </c>
      <c r="O78" s="206"/>
      <c r="P78" s="520" t="str">
        <f>'[3]vnos podatkov'!$B$10</f>
        <v>LUKA ZALAZNIK</v>
      </c>
      <c r="Q78" s="521"/>
      <c r="U78" s="180"/>
      <c r="V78" s="355"/>
      <c r="W78" s="355"/>
      <c r="X78" s="355"/>
      <c r="Y78" s="355"/>
      <c r="Z78" s="355"/>
      <c r="AA78" s="355"/>
      <c r="AB78" s="355"/>
      <c r="AC78" s="355"/>
      <c r="AD78" s="355"/>
      <c r="AE78" s="355"/>
      <c r="AF78" s="283"/>
      <c r="AG78" s="355"/>
      <c r="AH78" s="355"/>
      <c r="AI78" s="355"/>
      <c r="AJ78" s="355"/>
    </row>
    <row r="79" spans="1:36" s="330" customFormat="1" ht="9" customHeight="1">
      <c r="A79" s="357"/>
      <c r="B79" s="346"/>
      <c r="C79" s="358"/>
      <c r="D79" s="359">
        <v>8</v>
      </c>
      <c r="E79" s="360" t="str">
        <f>UPPER(IF($D79="","",VLOOKUP($D79,'[3]m glavni turnir žrebna lista'!$A$7:$R$38,3)))</f>
        <v>MEOLIC SREČKO</v>
      </c>
      <c r="F79" s="359"/>
      <c r="G79" s="361">
        <f>IF($D79="","",VLOOKUP($D79,'[3]m glavni turnir žrebna lista'!$A$7:$R$38,10))</f>
        <v>0</v>
      </c>
      <c r="H79" s="361">
        <f>IF($D79="","",VLOOKUP($D79,'[3]m glavni turnir žrebna lista'!$A$7:$R$38,14))</f>
        <v>0</v>
      </c>
      <c r="I79" s="362" t="s">
        <v>9</v>
      </c>
      <c r="J79" s="346"/>
      <c r="K79" s="345"/>
      <c r="L79" s="346"/>
      <c r="M79" s="347"/>
      <c r="N79" s="346" t="s">
        <v>120</v>
      </c>
      <c r="O79" s="345"/>
      <c r="P79" s="522" t="str">
        <f>'[3]vnos podatkov'!$E$10</f>
        <v>ANJA REGENT</v>
      </c>
      <c r="Q79" s="523"/>
      <c r="U79" s="180"/>
      <c r="V79" s="363"/>
      <c r="W79" s="363"/>
      <c r="X79" s="363"/>
      <c r="Y79" s="363"/>
      <c r="Z79" s="363"/>
      <c r="AA79" s="363"/>
      <c r="AB79" s="363"/>
      <c r="AC79" s="363"/>
      <c r="AD79" s="363"/>
      <c r="AE79" s="363"/>
      <c r="AF79" s="364"/>
      <c r="AG79" s="363"/>
      <c r="AH79" s="363"/>
      <c r="AI79" s="363"/>
      <c r="AJ79" s="363"/>
    </row>
  </sheetData>
  <mergeCells count="8">
    <mergeCell ref="A73:B73"/>
    <mergeCell ref="P78:Q78"/>
    <mergeCell ref="P79:Q79"/>
    <mergeCell ref="F3:G3"/>
    <mergeCell ref="V41:Z41"/>
    <mergeCell ref="P60:Q60"/>
    <mergeCell ref="P61:Q62"/>
    <mergeCell ref="P71:Q71"/>
  </mergeCells>
  <conditionalFormatting sqref="G39 G41 G7 G9 G11 G13 G15 G17 G19 G23 G43 G45 G47 G49 G51 G53 G21 G25 G27 G29 G31 G33 G35 G37 G55 G57 G59 G61 G63 G65 G67 G69">
    <cfRule type="expression" priority="1" dxfId="25" stopIfTrue="1">
      <formula>AND($D7&lt;9,$C7&gt;0)</formula>
    </cfRule>
  </conditionalFormatting>
  <conditionalFormatting sqref="L10 L18 L26 L34 L42 L50 L58 L66 N14 N30 N46 N62 P22 P54 J8 J12 J16 J20 J24 J28 J32 J36 J40 J44 J48 J52 J56 J60 J64 J68">
    <cfRule type="expression" priority="2" dxfId="25" stopIfTrue="1">
      <formula>I8="as"</formula>
    </cfRule>
    <cfRule type="expression" priority="3" dxfId="25" stopIfTrue="1">
      <formula>I8="bs"</formula>
    </cfRule>
  </conditionalFormatting>
  <conditionalFormatting sqref="B57 B9 B11 B13 B15 B17 B19 B67 B59 B25 B27 B29 B31 B33 B35 B65 B63 B41 B43 B45 B47 B49 B51 B61">
    <cfRule type="cellIs" priority="4" dxfId="20" operator="equal" stopIfTrue="1">
      <formula>"QA"</formula>
    </cfRule>
    <cfRule type="cellIs" priority="5" dxfId="20" operator="equal" stopIfTrue="1">
      <formula>"DA"</formula>
    </cfRule>
  </conditionalFormatting>
  <conditionalFormatting sqref="I8 I12 I16 I20 I24 I28 I32 I36 I40 I44 I48 I52 I56 I60 I64 I68 K66 K58 K50 K42 K34 K26 K18 K10 M14 M30 M46 M62 O22 O54 O39">
    <cfRule type="expression" priority="6" dxfId="31" stopIfTrue="1">
      <formula>$N$1="CU"</formula>
    </cfRule>
  </conditionalFormatting>
  <conditionalFormatting sqref="P38">
    <cfRule type="expression" priority="7" dxfId="25" stopIfTrue="1">
      <formula>O39="as"</formula>
    </cfRule>
    <cfRule type="expression" priority="8" dxfId="25" stopIfTrue="1">
      <formula>O39="bs"</formula>
    </cfRule>
  </conditionalFormatting>
  <conditionalFormatting sqref="N39 H8 H12 H16 H20 H24 H28 H32 H36 H40 H44 H48 H52 H56 H60 H64 H68 J66 J58 J50 J42 J34 J26 J18 J10 L14 L30 L46 L62 N54 N22">
    <cfRule type="expression" priority="9" dxfId="28" stopIfTrue="1">
      <formula>AND($N$1="CU",H8="Sodnik")</formula>
    </cfRule>
    <cfRule type="expression" priority="10" dxfId="27" stopIfTrue="1">
      <formula>AND($N$1="CU",H8&lt;&gt;"Sodnik",I8&lt;&gt;"")</formula>
    </cfRule>
    <cfRule type="expression" priority="11" dxfId="26" stopIfTrue="1">
      <formula>AND($N$1="CU",H8&lt;&gt;"Sodnik")</formula>
    </cfRule>
  </conditionalFormatting>
  <conditionalFormatting sqref="E7 B21 B7:C7 B23:C23 B37:C37 B39:C39 B53:C53 B55:C55 B69:C69">
    <cfRule type="expression" priority="12" dxfId="25" stopIfTrue="1">
      <formula>"IF(D7&lt;9)"</formula>
    </cfRule>
  </conditionalFormatting>
  <conditionalFormatting sqref="U52">
    <cfRule type="expression" priority="13" dxfId="24" stopIfTrue="1">
      <formula>"IF(Q63=J4)"</formula>
    </cfRule>
  </conditionalFormatting>
  <conditionalFormatting sqref="Q63">
    <cfRule type="cellIs" priority="14" dxfId="23" operator="equal" stopIfTrue="1">
      <formula>1</formula>
    </cfRule>
  </conditionalFormatting>
  <conditionalFormatting sqref="P63">
    <cfRule type="cellIs" priority="15" operator="equal" stopIfTrue="1">
      <formula>"Rang turnirja"</formula>
    </cfRule>
  </conditionalFormatting>
  <conditionalFormatting sqref="D9 D11 D13 D15 D17 D19 D25 D27 D29 D31 D33 D35 D41 D43 D45 D47 D49 D51 D57 D59 D61 D63 D65 D67">
    <cfRule type="expression" priority="16" dxfId="22" stopIfTrue="1">
      <formula>$D9&gt;0</formula>
    </cfRule>
  </conditionalFormatting>
  <conditionalFormatting sqref="D7 D21 D23 D37 D39 D53 D55 D69">
    <cfRule type="expression" priority="17" dxfId="21"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200" verticalDpi="200" orientation="portrait" paperSize="9" scale="97" r:id="rId6"/>
  <drawing r:id="rId3"/>
  <legacyDrawing r:id="rId2"/>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3]!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6146" r:id="rId5" name="Button 2">
              <controlPr defaultSize="0" print="0" autoFill="0" autoPict="0" macro="[3]!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9"/>
  <sheetViews>
    <sheetView showGridLines="0" showZeros="0" workbookViewId="0" topLeftCell="A1">
      <selection activeCell="L69" sqref="L69"/>
    </sheetView>
  </sheetViews>
  <sheetFormatPr defaultColWidth="9.140625" defaultRowHeight="15"/>
  <cols>
    <col min="1" max="1" width="3.140625" style="173" customWidth="1"/>
    <col min="2" max="2" width="3.57421875" style="173" customWidth="1"/>
    <col min="3" max="3" width="5.00390625" style="173" customWidth="1"/>
    <col min="4" max="4" width="4.28125" style="173" customWidth="1"/>
    <col min="5" max="5" width="12.7109375" style="173" customWidth="1"/>
    <col min="6" max="6" width="2.7109375" style="173" customWidth="1"/>
    <col min="7" max="7" width="7.7109375" style="173" customWidth="1"/>
    <col min="8" max="8" width="5.8515625" style="173" customWidth="1"/>
    <col min="9" max="9" width="2.7109375" style="365" customWidth="1"/>
    <col min="10" max="10" width="10.7109375" style="173" customWidth="1"/>
    <col min="11" max="11" width="2.421875" style="365" customWidth="1"/>
    <col min="12" max="12" width="10.7109375" style="173" customWidth="1"/>
    <col min="13" max="13" width="1.7109375" style="366" customWidth="1"/>
    <col min="14" max="14" width="10.7109375" style="173" customWidth="1"/>
    <col min="15" max="15" width="1.7109375" style="365" customWidth="1"/>
    <col min="16" max="16" width="10.7109375" style="173" customWidth="1"/>
    <col min="17" max="17" width="3.421875" style="366" customWidth="1"/>
    <col min="18" max="18" width="7.8515625" style="173" customWidth="1"/>
    <col min="19" max="19" width="0.71875" style="173" hidden="1" customWidth="1"/>
    <col min="20" max="20" width="4.7109375" style="173" hidden="1" customWidth="1"/>
    <col min="21" max="21" width="7.7109375" style="167" customWidth="1"/>
    <col min="22" max="22" width="4.140625" style="367" customWidth="1"/>
    <col min="23" max="30" width="9.140625" style="367" customWidth="1"/>
    <col min="31" max="31" width="9.8515625" style="367" customWidth="1"/>
    <col min="32" max="32" width="9.140625" style="368" customWidth="1"/>
    <col min="33" max="33" width="14.57421875" style="367" customWidth="1"/>
    <col min="34" max="34" width="10.8515625" style="367" customWidth="1"/>
    <col min="35" max="35" width="9.140625" style="367" customWidth="1"/>
    <col min="36" max="36" width="9.57421875" style="367" customWidth="1"/>
    <col min="37" max="16384" width="9.140625" style="173" customWidth="1"/>
  </cols>
  <sheetData>
    <row r="1" spans="1:36" s="153" customFormat="1" ht="21.75" customHeight="1">
      <c r="A1" s="146" t="str">
        <f>'[4]vnos podatkov'!$A$6</f>
        <v>RVO DRŽAVNO PRVENSTVO</v>
      </c>
      <c r="B1" s="147"/>
      <c r="C1" s="148"/>
      <c r="D1" s="148"/>
      <c r="E1" s="148"/>
      <c r="F1" s="148"/>
      <c r="G1" s="148"/>
      <c r="H1" s="146"/>
      <c r="I1" s="149"/>
      <c r="J1" s="150" t="s">
        <v>63</v>
      </c>
      <c r="K1" s="151"/>
      <c r="L1" s="152"/>
      <c r="M1" s="149"/>
      <c r="N1" s="149" t="s">
        <v>0</v>
      </c>
      <c r="O1" s="149"/>
      <c r="P1" s="148"/>
      <c r="Q1" s="149"/>
      <c r="U1" s="154"/>
      <c r="V1" s="155" t="str">
        <f>'[4]vnos podatkov'!$A$6</f>
        <v>RVO DRŽAVNO PRVENSTVO</v>
      </c>
      <c r="W1" s="156"/>
      <c r="X1" s="156"/>
      <c r="Y1" s="156"/>
      <c r="Z1" s="156"/>
      <c r="AA1" s="156"/>
      <c r="AB1" s="156"/>
      <c r="AC1" s="156"/>
      <c r="AD1" s="156"/>
      <c r="AE1" s="156"/>
      <c r="AF1" s="157"/>
      <c r="AG1" s="156"/>
      <c r="AH1" s="156"/>
      <c r="AI1" s="156"/>
      <c r="AJ1" s="156"/>
    </row>
    <row r="2" spans="1:36" ht="15">
      <c r="A2" s="158">
        <f>'[4]vnos podatkov'!$A$8</f>
        <v>0</v>
      </c>
      <c r="B2" s="159">
        <f>'[4]vnos podatkov'!$B$8</f>
        <v>0</v>
      </c>
      <c r="C2" s="160">
        <f>'[4]vnos podatkov'!$C$8</f>
        <v>0</v>
      </c>
      <c r="D2" s="159"/>
      <c r="E2" s="159"/>
      <c r="F2" s="161"/>
      <c r="G2" s="162"/>
      <c r="H2" s="162"/>
      <c r="I2" s="163"/>
      <c r="J2" s="164" t="s">
        <v>64</v>
      </c>
      <c r="K2" s="151"/>
      <c r="L2" s="165"/>
      <c r="M2" s="163"/>
      <c r="N2" s="162"/>
      <c r="O2" s="163"/>
      <c r="P2" s="162"/>
      <c r="Q2" s="163"/>
      <c r="R2" s="166"/>
      <c r="S2" s="166"/>
      <c r="T2" s="166"/>
      <c r="V2" s="168">
        <f>'[4]vnos podatkov'!$A$8</f>
        <v>0</v>
      </c>
      <c r="W2" s="169">
        <f>'[4]vnos podatkov'!$B$8</f>
        <v>0</v>
      </c>
      <c r="X2" s="169">
        <f>'[4]vnos podatkov'!$C$8</f>
        <v>0</v>
      </c>
      <c r="Y2" s="170">
        <f>'[4]vnos podatkov'!$A$10</f>
        <v>0</v>
      </c>
      <c r="Z2" s="171"/>
      <c r="AA2" s="171"/>
      <c r="AB2" s="171"/>
      <c r="AC2" s="171"/>
      <c r="AD2" s="171"/>
      <c r="AE2" s="171"/>
      <c r="AF2" s="172"/>
      <c r="AG2" s="171"/>
      <c r="AH2" s="171"/>
      <c r="AI2" s="171"/>
      <c r="AJ2" s="171"/>
    </row>
    <row r="3" spans="1:36" s="179" customFormat="1" ht="11.25" customHeight="1">
      <c r="A3" s="174" t="s">
        <v>1</v>
      </c>
      <c r="B3" s="174"/>
      <c r="C3" s="174"/>
      <c r="D3" s="175" t="s">
        <v>65</v>
      </c>
      <c r="E3" s="174"/>
      <c r="F3" s="524" t="s">
        <v>66</v>
      </c>
      <c r="G3" s="524"/>
      <c r="H3" s="174"/>
      <c r="I3" s="176"/>
      <c r="J3" s="177" t="s">
        <v>67</v>
      </c>
      <c r="K3" s="176"/>
      <c r="L3" s="174" t="s">
        <v>68</v>
      </c>
      <c r="M3" s="176"/>
      <c r="N3" s="177" t="s">
        <v>69</v>
      </c>
      <c r="O3" s="176"/>
      <c r="P3" s="174"/>
      <c r="Q3" s="178" t="s">
        <v>70</v>
      </c>
      <c r="U3" s="180"/>
      <c r="V3" s="181" t="s">
        <v>71</v>
      </c>
      <c r="W3" s="182"/>
      <c r="X3" s="182"/>
      <c r="Y3" s="183"/>
      <c r="Z3" s="184"/>
      <c r="AA3" s="184"/>
      <c r="AB3" s="184"/>
      <c r="AC3" s="184"/>
      <c r="AD3" s="184"/>
      <c r="AE3" s="185"/>
      <c r="AF3" s="186"/>
      <c r="AG3" s="187"/>
      <c r="AH3" s="187"/>
      <c r="AI3" s="187"/>
      <c r="AJ3" s="187"/>
    </row>
    <row r="4" spans="1:36" s="196" customFormat="1" ht="11.25" customHeight="1" thickBot="1">
      <c r="A4" s="188">
        <f>'[4]vnos podatkov'!$D$8</f>
        <v>0</v>
      </c>
      <c r="B4" s="188"/>
      <c r="C4" s="188"/>
      <c r="D4" s="188">
        <f>'[4]vnos podatkov'!$A$10</f>
        <v>0</v>
      </c>
      <c r="E4" s="189"/>
      <c r="F4" s="190">
        <f>'[4]vnos podatkov'!$C$10</f>
        <v>0</v>
      </c>
      <c r="G4" s="190"/>
      <c r="H4" s="190"/>
      <c r="I4" s="191"/>
      <c r="J4" s="192">
        <f>'[4]vnos podatkov'!$D$10</f>
        <v>0</v>
      </c>
      <c r="K4" s="191"/>
      <c r="L4" s="193" t="str">
        <f>'[4]vnos podatkov'!$B$10</f>
        <v>LUKA ZALAZNIK</v>
      </c>
      <c r="M4" s="191"/>
      <c r="N4" s="194">
        <f>COUNTIF(C7:C69,"&gt;0")</f>
        <v>0</v>
      </c>
      <c r="O4" s="191"/>
      <c r="P4" s="189"/>
      <c r="Q4" s="195" t="str">
        <f>'[4]vnos podatkov'!$E$10</f>
        <v>ANJA REGENT</v>
      </c>
      <c r="U4" s="197"/>
      <c r="V4" s="198"/>
      <c r="W4" s="198"/>
      <c r="X4" s="198"/>
      <c r="Y4" s="199"/>
      <c r="Z4" s="199"/>
      <c r="AA4" s="199"/>
      <c r="AB4" s="199"/>
      <c r="AC4" s="199"/>
      <c r="AD4" s="199"/>
      <c r="AE4" s="199"/>
      <c r="AF4" s="200"/>
      <c r="AG4" s="198"/>
      <c r="AH4" s="198"/>
      <c r="AI4" s="198"/>
      <c r="AJ4" s="198"/>
    </row>
    <row r="5" spans="1:36" s="179" customFormat="1" ht="15">
      <c r="A5" s="201"/>
      <c r="B5" s="202" t="s">
        <v>72</v>
      </c>
      <c r="C5" s="202" t="s">
        <v>73</v>
      </c>
      <c r="D5" s="202" t="s">
        <v>74</v>
      </c>
      <c r="E5" s="203" t="s">
        <v>75</v>
      </c>
      <c r="F5" s="203" t="s">
        <v>76</v>
      </c>
      <c r="G5" s="203"/>
      <c r="H5" s="203" t="s">
        <v>66</v>
      </c>
      <c r="I5" s="204"/>
      <c r="J5" s="202" t="s">
        <v>77</v>
      </c>
      <c r="K5" s="205"/>
      <c r="L5" s="202" t="s">
        <v>78</v>
      </c>
      <c r="M5" s="205"/>
      <c r="N5" s="202" t="s">
        <v>79</v>
      </c>
      <c r="O5" s="205"/>
      <c r="P5" s="202" t="s">
        <v>80</v>
      </c>
      <c r="Q5" s="206"/>
      <c r="U5" s="180" t="s">
        <v>73</v>
      </c>
      <c r="V5" s="207" t="s">
        <v>81</v>
      </c>
      <c r="W5" s="208" t="s">
        <v>75</v>
      </c>
      <c r="X5" s="208" t="s">
        <v>76</v>
      </c>
      <c r="Y5" s="209" t="s">
        <v>82</v>
      </c>
      <c r="Z5" s="209" t="s">
        <v>83</v>
      </c>
      <c r="AA5" s="209" t="s">
        <v>78</v>
      </c>
      <c r="AB5" s="209" t="s">
        <v>79</v>
      </c>
      <c r="AC5" s="209" t="s">
        <v>84</v>
      </c>
      <c r="AD5" s="209" t="s">
        <v>85</v>
      </c>
      <c r="AE5" s="210" t="s">
        <v>86</v>
      </c>
      <c r="AF5" s="186"/>
      <c r="AG5" s="187"/>
      <c r="AH5" s="187"/>
      <c r="AI5" s="187"/>
      <c r="AJ5" s="187"/>
    </row>
    <row r="6" spans="1:36" s="179" customFormat="1" ht="3.75" customHeight="1" thickBot="1">
      <c r="A6" s="211"/>
      <c r="B6" s="212"/>
      <c r="C6" s="213"/>
      <c r="D6" s="212"/>
      <c r="E6" s="214"/>
      <c r="F6" s="215"/>
      <c r="G6" s="216"/>
      <c r="H6" s="214"/>
      <c r="I6" s="217"/>
      <c r="J6" s="212"/>
      <c r="K6" s="217"/>
      <c r="L6" s="212"/>
      <c r="M6" s="217"/>
      <c r="N6" s="212"/>
      <c r="O6" s="217"/>
      <c r="P6" s="212"/>
      <c r="Q6" s="218"/>
      <c r="U6" s="180"/>
      <c r="V6" s="219"/>
      <c r="W6" s="220"/>
      <c r="X6" s="220"/>
      <c r="Y6" s="221"/>
      <c r="Z6" s="221"/>
      <c r="AA6" s="221"/>
      <c r="AB6" s="221"/>
      <c r="AC6" s="221"/>
      <c r="AD6" s="221"/>
      <c r="AE6" s="222"/>
      <c r="AF6" s="186"/>
      <c r="AG6" s="187"/>
      <c r="AH6" s="187"/>
      <c r="AI6" s="187"/>
      <c r="AJ6" s="187"/>
    </row>
    <row r="7" spans="1:36" s="234" customFormat="1" ht="10.5" customHeight="1">
      <c r="A7" s="223">
        <v>1</v>
      </c>
      <c r="B7" s="224">
        <f>IF($D7="","",VLOOKUP($D7,'[4]m glavni turnir žrebna lista'!$A$7:$R$38,17))</f>
        <v>0</v>
      </c>
      <c r="C7" s="224">
        <f>IF($D7="","",VLOOKUP($D7,'[4]m glavni turnir žrebna lista'!$A$7:$R$38,2))</f>
        <v>0</v>
      </c>
      <c r="D7" s="225">
        <v>1</v>
      </c>
      <c r="E7" s="224" t="str">
        <f>UPPER(IF($D7="","",VLOOKUP($D7,'[4]m glavni turnir žrebna lista'!$A$7:$R$38,3)))</f>
        <v>BELIŠ IVO</v>
      </c>
      <c r="F7" s="224" t="str">
        <f>PROPER(IF($D7="","",VLOOKUP($D7,'[4]m glavni turnir žrebna lista'!$A$7:$R$38,4)))</f>
        <v>1</v>
      </c>
      <c r="G7" s="224"/>
      <c r="H7" s="224">
        <f>IF($D7="","",VLOOKUP($D7,'[4]m glavni turnir žrebna lista'!$A$7:$R$38,5))</f>
        <v>0</v>
      </c>
      <c r="I7" s="226">
        <f>IF($D7="","",VLOOKUP($D7,'[4]m glavni turnir žrebna lista'!$A$7:$R$38,14))</f>
        <v>0</v>
      </c>
      <c r="J7" s="227"/>
      <c r="K7" s="228"/>
      <c r="L7" s="227"/>
      <c r="M7" s="228"/>
      <c r="N7" s="229"/>
      <c r="O7" s="230"/>
      <c r="P7" s="231"/>
      <c r="Q7" s="232"/>
      <c r="R7" s="233"/>
      <c r="T7" s="235" t="str">
        <f>'[4]glavni sodniki'!P21</f>
        <v>Sodnik</v>
      </c>
      <c r="U7" s="180">
        <f>IF($D7="","",VLOOKUP($D7,'[4]m glavni turnir žrebna lista'!$A$7:$R$38,2))</f>
        <v>0</v>
      </c>
      <c r="V7" s="208">
        <v>1</v>
      </c>
      <c r="W7" s="208" t="str">
        <f>UPPER(IF($D7="","",VLOOKUP($D7,'[4]m glavni turnir žrebna lista'!$A$7:$R$38,3)))</f>
        <v>BELIŠ IVO</v>
      </c>
      <c r="X7" s="208" t="str">
        <f>PROPER(IF($D7="","",VLOOKUP($D7,'[4]m glavni turnir žrebna lista'!$A$7:$R$38,4)))</f>
        <v>1</v>
      </c>
      <c r="Y7" s="236" t="str">
        <f aca="true" t="shared" si="0" ref="Y7:Y38">IF(W7="","",IF($Q$63=1,30,IF($Q$63=2,15,IF($Q$63=3,10,""))))</f>
        <v/>
      </c>
      <c r="Z7" s="209" t="str">
        <f>IF(Y7="","",IF(AND($Q$63=1,$U$8=$U$7),30,IF(AND($Q$63=2,$U$8=$U$7),15,IF(AND($Q$63=3,$U$8=$U$7),10,""))))</f>
        <v/>
      </c>
      <c r="AA7" s="209" t="str">
        <f>IF(Z7="","",IF(AND($Q$63=1,$U$8=$U$10,$U$10=$U$7),60,IF(AND($Q$63=2,$U$8=$U$10,$U$10=$U$7),30,IF(AND($Q$63=3,$U$8=$U$10,$U$10=$U$7),20,""))))</f>
        <v/>
      </c>
      <c r="AB7" s="209" t="str">
        <f>IF(AA7="","",IF(AND($Q$63=1,$U$8=$U$10,$U$10=$U$7,$U$10=$U$14),120,IF(AND($Q$63=2,$U$8=$U$10,$U$10=$U$7,$U$10=$U$14),60,IF(AND($Q$63=3,$U$8=$U$10,$U$10=$U$7,$U$10=$U$14),40,""))))</f>
        <v/>
      </c>
      <c r="AC7" s="209" t="str">
        <f>IF(AB7="","",IF(AND($Q$63=1,$U$8=$U$10,$U$10=$U$7,$U$10=$U$14,$U$22=$U$14),120,IF(AND($Q$63=2,$U$8=$U$10,$U$10=$U$7,$U$10=$U$14,$U$22=$U$14),60,IF(AND($Q$63=3,$U$8=$U$10,$U$10=$U$7,$U$10=$U$14,$U$22=$U$14),40,""))))</f>
        <v/>
      </c>
      <c r="AD7" s="209" t="str">
        <f>IF(AC7="","",IF(AND($Q$63=1,$U$8=$U$10,$U$10=$U$7,$U$10=$U$14,$U$22=$U$14,$U$38=$U$22),120,IF(AND($Q$63=2,$U$8=$U$10,$U$10=$U$7,$U$10=$U$14,$U$22=$U$14,$U$38=$U$22),60,IF(AND($Q$63=3,$U$8=$U$10,$U$10=$U$7,$U$10=$U$14,$U$22=$U$14,$U$38=$U$22),40,""))))</f>
        <v/>
      </c>
      <c r="AE7" s="237">
        <f>IF($C$2="B turnir",SUM(Y7:AD7)*0.1,SUM(Y7:AD7))</f>
        <v>0</v>
      </c>
      <c r="AF7" s="186"/>
      <c r="AG7" s="238"/>
      <c r="AH7" s="238"/>
      <c r="AI7" s="238"/>
      <c r="AJ7" s="238"/>
    </row>
    <row r="8" spans="1:36" s="234" customFormat="1" ht="9.6" customHeight="1">
      <c r="A8" s="239"/>
      <c r="B8" s="240"/>
      <c r="C8" s="240"/>
      <c r="D8" s="240"/>
      <c r="E8" s="241"/>
      <c r="F8" s="241"/>
      <c r="G8" s="242"/>
      <c r="H8" s="243" t="s">
        <v>87</v>
      </c>
      <c r="I8" s="244" t="s">
        <v>88</v>
      </c>
      <c r="J8" s="245" t="str">
        <f>UPPER(IF(OR(I8="a",I8="as"),E7,IF(OR(I8="b",I8="bs"),E9,)))</f>
        <v>BELIŠ IVO</v>
      </c>
      <c r="K8" s="246">
        <f>IF(OR(I8="a",I8="as"),I7,IF(OR(I8="b",I8="bs"),I9,))</f>
        <v>0</v>
      </c>
      <c r="L8" s="227"/>
      <c r="M8" s="228"/>
      <c r="N8" s="229"/>
      <c r="O8" s="230"/>
      <c r="P8" s="231"/>
      <c r="Q8" s="232"/>
      <c r="R8" s="233"/>
      <c r="T8" s="247" t="str">
        <f>'[4]glavni sodniki'!P22</f>
        <v xml:space="preserve"> </v>
      </c>
      <c r="U8" s="180">
        <f>IF(OR(I8="a",I8="as"),C7,IF(OR(I8="b",I8="bs"),C9,""))</f>
        <v>0</v>
      </c>
      <c r="V8" s="208">
        <v>2</v>
      </c>
      <c r="W8" s="248" t="str">
        <f>UPPER(IF($D9="","",VLOOKUP($D9,'[4]m glavni turnir žrebna lista'!$A$7:$R$38,3)))</f>
        <v/>
      </c>
      <c r="X8" s="248" t="str">
        <f>PROPER(IF($D9="","",VLOOKUP($D9,'[4]m glavni turnir žrebna lista'!$A$7:$R$38,4)))</f>
        <v/>
      </c>
      <c r="Y8" s="249" t="str">
        <f t="shared" si="0"/>
        <v/>
      </c>
      <c r="Z8" s="249" t="str">
        <f>IF(Y8="","",IF(AND($Q$63=1,U9=$U$8),30,IF(AND($Q$63=2,U9=$U$8),15,IF(AND($Q$63=3,U9=$U$8),10,""))))</f>
        <v/>
      </c>
      <c r="AA8" s="249" t="str">
        <f>IF(Z8="","",IF(AND($Q$63=1,U9=$U$10,$U$10=$U$8),60,IF(AND($Q$63=2,U9=$U$10,$U$10=$U$8),30,IF(AND($Q$63=3,U9=$U$10,$U$10=$U$8),20,""))))</f>
        <v/>
      </c>
      <c r="AB8" s="249" t="str">
        <f>IF(AA8="","",IF(AND($Q$63=1,$U$8=U9,$U$8=$U$10,$U$10=$U$14),120,IF(AND($Q$63=2,$U$8=U9,$U$8=$U$10,$U$10=$U$14),60,IF(AND($Q$63=3,$U$8=U9,$U$8=$U$10,$U$10=$U$14),40,""))))</f>
        <v/>
      </c>
      <c r="AC8" s="249" t="str">
        <f>IF(AB8="","",IF(AND($Q$63=1,$U$8=$U$10,$U$10=$U$9,$U$10=$U$14,$U$22=$U$14),120,IF(AND($Q$63=2,$U$8=$U$10,$U$10=$U$9,$U$10=$U$14,$U$22=$U$14),60,IF(AND($Q$63=3,$U$8=$U$10,$U$10=$U$9,$U$10=$U$14,$U$22=$U$14),40,""))))</f>
        <v/>
      </c>
      <c r="AD8" s="249" t="str">
        <f>IF(AC8="","",IF(AND($Q$63=1,$U$8=$U$10,$U$10=$U$9,$U$10=$U$14,$U$22=$U$14,$U$38=$U$22),120,IF(AND($Q$63=2,$U$8=$U$10,$U$10=$U$9,$U$10=$U$14,$U$22=$U$14,$U$38=$U$22),60,IF(AND($Q$63=3,$U$8=$U$10,$U$10=$U$9,$U$10=$U$14,$U$22=$U$14,$U$38=$U$22),40,""))))</f>
        <v/>
      </c>
      <c r="AE8" s="250">
        <f aca="true" t="shared" si="1" ref="AE8:AE38">IF($C$2="B turnir",SUM(Y8:AD8)*0.1,SUM(Y8:AD8))</f>
        <v>0</v>
      </c>
      <c r="AF8" s="186"/>
      <c r="AG8" s="238"/>
      <c r="AH8" s="238"/>
      <c r="AI8" s="238"/>
      <c r="AJ8" s="238"/>
    </row>
    <row r="9" spans="1:36" s="234" customFormat="1" ht="9.6" customHeight="1">
      <c r="A9" s="239">
        <v>2</v>
      </c>
      <c r="B9" s="251" t="str">
        <f>IF($D9="","",VLOOKUP($D9,'[4]m glavni turnir žrebna lista'!$A$7:$R$38,17))</f>
        <v/>
      </c>
      <c r="C9" s="251" t="str">
        <f>IF($D9="","",VLOOKUP($D9,'[4]m glavni turnir žrebna lista'!$A$7:$R$38,2))</f>
        <v/>
      </c>
      <c r="D9" s="225"/>
      <c r="E9" s="252" t="s">
        <v>3</v>
      </c>
      <c r="F9" s="252" t="str">
        <f>PROPER(IF($D9="","",VLOOKUP($D9,'[4]m glavni turnir žrebna lista'!$A$7:$R$38,4)))</f>
        <v/>
      </c>
      <c r="G9" s="252"/>
      <c r="H9" s="252" t="str">
        <f>IF($D9="","",VLOOKUP($D9,'[4]m glavni turnir žrebna lista'!$A$7:$R$38,5))</f>
        <v/>
      </c>
      <c r="I9" s="253" t="str">
        <f>IF($D9="","",VLOOKUP($D9,'[4]m glavni turnir žrebna lista'!$A$7:$R$38,14))</f>
        <v/>
      </c>
      <c r="J9" s="254"/>
      <c r="K9" s="255"/>
      <c r="L9" s="227"/>
      <c r="M9" s="228"/>
      <c r="N9" s="229"/>
      <c r="O9" s="230"/>
      <c r="P9" s="231"/>
      <c r="Q9" s="232"/>
      <c r="R9" s="233"/>
      <c r="T9" s="247" t="str">
        <f>'[4]glavni sodniki'!P23</f>
        <v xml:space="preserve"> </v>
      </c>
      <c r="U9" s="180" t="str">
        <f>IF($D9="","",VLOOKUP($D9,'[4]m glavni turnir žrebna lista'!$A$7:$R$38,2))</f>
        <v/>
      </c>
      <c r="V9" s="208">
        <v>3</v>
      </c>
      <c r="W9" s="208" t="str">
        <f>UPPER(IF($D11="","",VLOOKUP($D11,'[4]m glavni turnir žrebna lista'!$A$7:$R$38,3)))</f>
        <v>BEŠIREVIČ NEDO</v>
      </c>
      <c r="X9" s="208" t="str">
        <f>PROPER(IF($D11="","",VLOOKUP($D11,'[4]m glavni turnir žrebna lista'!$A$7:$R$38,4)))</f>
        <v/>
      </c>
      <c r="Y9" s="209" t="str">
        <f t="shared" si="0"/>
        <v/>
      </c>
      <c r="Z9" s="209" t="str">
        <f>IF(Y9="","",IF(AND($Q$63=1,U11=U12),30,IF(AND($Q$63=2,U11=U12),15,IF(AND($Q$63=3,U11=U12),10,""))))</f>
        <v/>
      </c>
      <c r="AA9" s="209" t="str">
        <f>IF(Z9="","",IF(AND($Q$63=1,$U$10=U11,U11=U12),60,IF(AND($Q$63=2,$U$10=U11,U11=U12),30,IF(AND($Q$63=3,$U$10=U11,U11=U12),20,""))))</f>
        <v/>
      </c>
      <c r="AB9" s="209" t="str">
        <f>IF(AA9="","",IF(AND($Q$63=1,$U$14=$U$10,$U$10=U12,U11=U12),120,IF(AND($Q$63=2,$U$10=$U$14,$U$10=U12,U12=U11),60,IF(AND($Q$63=3,$U$10=$U$14,$U$10=U12,U12=U11),40,""))))</f>
        <v/>
      </c>
      <c r="AC9" s="209" t="str">
        <f>IF(AB9="","",IF(AND($Q$63=1,$U$11=$U$12,$U$10=$U$12,$U$10=$U$14,$U$22=$U$14),120,IF(AND($Q$63=2,$U$11=$U$12,$U$12=$U$10,$U$10=$U$14,$U$22=$U$14),60,IF(AND($Q$63=3,$U$11=$U$12,$U$12=$U$10,$U$10=$U$14,$U$22=$U$14),40,""))))</f>
        <v/>
      </c>
      <c r="AD9" s="209" t="str">
        <f>IF(AC9="","",IF(AND($Q$63=1,$U$11=$U$12,$U$10=$U$12,$U$10=$U$14,$U$22=$U$14,$U$38=$U$22),120,IF(AND($Q$63=2,$U$11=$U$12,$U$12=$U$10,$U$10=$U$14,$U$22=$U$14,$U$38=$U$22),60,IF(AND($Q$63=3,$U$11=$U$12,$U$12=$U$10,$U$10=$U$14,$U$22=$U$14,$U$38=$U$22),40,""))))</f>
        <v/>
      </c>
      <c r="AE9" s="237">
        <f t="shared" si="1"/>
        <v>0</v>
      </c>
      <c r="AF9" s="186"/>
      <c r="AG9" s="238"/>
      <c r="AH9" s="238"/>
      <c r="AI9" s="238"/>
      <c r="AJ9" s="238"/>
    </row>
    <row r="10" spans="1:36" s="234" customFormat="1" ht="9.6" customHeight="1">
      <c r="A10" s="239"/>
      <c r="B10" s="240"/>
      <c r="C10" s="240"/>
      <c r="D10" s="256"/>
      <c r="E10" s="241"/>
      <c r="F10" s="241"/>
      <c r="G10" s="242"/>
      <c r="H10" s="241"/>
      <c r="I10" s="257"/>
      <c r="J10" s="243" t="s">
        <v>87</v>
      </c>
      <c r="K10" s="258"/>
      <c r="L10" s="259" t="str">
        <f>UPPER(IF(OR(K10="a",K10="as"),J8,IF(OR(K10="b",K10="bs"),J12,)))</f>
        <v/>
      </c>
      <c r="M10" s="260">
        <f>IF(OR(K10="a",K10="as"),K8,IF(OR(K10="b",K10="bs"),K12,))</f>
        <v>0</v>
      </c>
      <c r="N10" s="261"/>
      <c r="O10" s="262"/>
      <c r="P10" s="231"/>
      <c r="Q10" s="232"/>
      <c r="R10" s="233"/>
      <c r="T10" s="247" t="str">
        <f>'[4]glavni sodniki'!P24</f>
        <v xml:space="preserve"> </v>
      </c>
      <c r="U10" s="180" t="str">
        <f>IF(OR(K10="a",K10="as"),$U$8,IF(OR(K10="b",K10="bs"),U12,""))</f>
        <v/>
      </c>
      <c r="V10" s="208">
        <v>4</v>
      </c>
      <c r="W10" s="263" t="str">
        <f>UPPER(IF($D13="","",VLOOKUP($D13,'[4]m glavni turnir žrebna lista'!$A$7:$R$38,3)))</f>
        <v>ŠEGA MARKO</v>
      </c>
      <c r="X10" s="263" t="str">
        <f>PROPER(IF($D13="","",VLOOKUP($D13,'[4]m glavni turnir žrebna lista'!$A$7:$R$38,4)))</f>
        <v/>
      </c>
      <c r="Y10" s="249" t="str">
        <f t="shared" si="0"/>
        <v/>
      </c>
      <c r="Z10" s="249" t="str">
        <f>IF(Y10="","",IF(AND($Q$63=1,U12=U13),30,IF(AND($Q$63=2,U12=U13),15,IF(AND($Q$63=3,U12=U13),10,""))))</f>
        <v/>
      </c>
      <c r="AA10" s="249" t="str">
        <f>IF(Z10="","",IF(AND($Q$63=1,$U$10=U12,U12=U13),60,IF(AND($Q$63=2,$U$10=U12,U12=U13),30,IF(AND($Q$63=3,$U$10=U12,U12=U13),20,""))))</f>
        <v/>
      </c>
      <c r="AB10" s="249" t="str">
        <f>IF(AA10="","",IF(AND($Q$63=1,$U$14=$U$10,$U$10=U12,U12=U13),120,IF(AND($Q$63=2,$U$14=$U$10,$U$10=U12,U13=U12),60,IF(AND($Q$63=3,$U$14=$U$10,$U$10=U12,U13=U12),40,""))))</f>
        <v/>
      </c>
      <c r="AC10" s="249" t="str">
        <f>IF(AB10="","",IF(AND($Q$63=1,$U$13=$U$12,$U$10=$U$12,$U$10=$U$14,$U$22=$U$14),120,IF(AND($Q$63=2,$U$13=$U$12,$U$12=$U$10,$U$10=$U$14,$U$22=$U$14),60,IF(AND($Q$63=3,$U$13=$U$12,$U$12=$U$10,$U$10=$U$14,$U$22=$U$14),40,""))))</f>
        <v/>
      </c>
      <c r="AD10" s="249" t="str">
        <f>IF(AC10="","",IF(AND($Q$63=1,$U$13=$U$12,$U$10=$U$12,$U$10=$U$14,$U$22=$U$14,$U$38=$U$22),120,IF(AND($Q$63=2,$U$13=$U$12,$U$12=$U$10,$U$10=$U$14,$U$22=$U$14,$U$38=$U$22),60,IF(AND($Q$63=3,$U$13=$U$12,$U$12=$U$10,$U$10=$U$14,$U$22=$U$14,$U$38=$U$22),40,""))))</f>
        <v/>
      </c>
      <c r="AE10" s="250">
        <f t="shared" si="1"/>
        <v>0</v>
      </c>
      <c r="AF10" s="186"/>
      <c r="AG10" s="238"/>
      <c r="AH10" s="238"/>
      <c r="AI10" s="238"/>
      <c r="AJ10" s="238"/>
    </row>
    <row r="11" spans="1:36" s="234" customFormat="1" ht="9.6" customHeight="1">
      <c r="A11" s="239">
        <v>3</v>
      </c>
      <c r="B11" s="251">
        <f>IF($D11="","",VLOOKUP($D11,'[4]m glavni turnir žrebna lista'!$A$7:$R$38,17))</f>
        <v>0</v>
      </c>
      <c r="C11" s="251">
        <f>IF($D11="","",VLOOKUP($D11,'[4]m glavni turnir žrebna lista'!$A$7:$R$38,2))</f>
        <v>0</v>
      </c>
      <c r="D11" s="225">
        <v>10</v>
      </c>
      <c r="E11" s="252" t="str">
        <f>UPPER(IF($D11="","",VLOOKUP($D11,'[4]m glavni turnir žrebna lista'!$A$7:$R$38,3)))</f>
        <v>BEŠIREVIČ NEDO</v>
      </c>
      <c r="F11" s="252" t="str">
        <f>PROPER(IF($D11="","",VLOOKUP($D11,'[4]m glavni turnir žrebna lista'!$A$7:$R$38,4)))</f>
        <v/>
      </c>
      <c r="G11" s="252"/>
      <c r="H11" s="252">
        <f>IF($D11="","",VLOOKUP($D11,'[4]m glavni turnir žrebna lista'!$A$7:$R$38,5))</f>
        <v>0</v>
      </c>
      <c r="I11" s="226">
        <f>IF($D11="","",VLOOKUP($D11,'[4]m glavni turnir žrebna lista'!$A$7:$R$38,14))</f>
        <v>0</v>
      </c>
      <c r="J11" s="227"/>
      <c r="K11" s="264"/>
      <c r="L11" s="254"/>
      <c r="M11" s="265"/>
      <c r="N11" s="261"/>
      <c r="O11" s="262"/>
      <c r="P11" s="231"/>
      <c r="Q11" s="232"/>
      <c r="R11" s="233"/>
      <c r="T11" s="247" t="str">
        <f>'[4]glavni sodniki'!P25</f>
        <v xml:space="preserve"> </v>
      </c>
      <c r="U11" s="180">
        <f>IF($D11="","",VLOOKUP($D11,'[4]m glavni turnir žrebna lista'!$A$7:$R$38,2))</f>
        <v>0</v>
      </c>
      <c r="V11" s="208">
        <v>5</v>
      </c>
      <c r="W11" s="208" t="str">
        <f>UPPER(IF($D15="","",VLOOKUP($D15,'[4]m glavni turnir žrebna lista'!$A$7:$R$38,3)))</f>
        <v/>
      </c>
      <c r="X11" s="208" t="str">
        <f>PROPER(IF($D15="","",VLOOKUP($D15,'[4]m glavni turnir žrebna lista'!$A$7:$R$38,4)))</f>
        <v/>
      </c>
      <c r="Y11" s="209" t="str">
        <f t="shared" si="0"/>
        <v/>
      </c>
      <c r="Z11" s="209" t="str">
        <f>IF(Y11="","",IF(AND($Q$63=1,U15=U16),30,IF(AND($Q$63=2,U15=U16),15,IF(AND($Q$63=3,U15=U16),10,""))))</f>
        <v/>
      </c>
      <c r="AA11" s="209" t="str">
        <f>IF(Z11="","",IF(AND($Q$63=1,U15=U16,U16=U18),60,IF(AND($Q$63=2,U15=U16,U16=U18),30,IF(AND($Q$63=3,U15=U16,U16=U18),20,""))))</f>
        <v/>
      </c>
      <c r="AB11" s="209" t="str">
        <f>IF(AA11="","",IF(AND($Q$63=1,U15=$U$14,U15=U16,U16=U18),120,IF(AND($Q$63=2,U15=$U$14,U15=U16,U16=U18),60,IF(AND($Q$63=3,U15=$U$14,U15=U16,U16=U18),40,""))))</f>
        <v/>
      </c>
      <c r="AC11" s="209" t="str">
        <f>IF(AB11="","",IF(AND($Q$63=1,$U$15=$U$16,$U$16=$U$18,$U$18=$U$14,$U$22=$U$14),120,IF(AND($Q$63=2,$U$15=$U$16,$U$16=$U$18,$U$18=$U$14,$U$22=$U$14),60,IF(AND($Q$63=3,$U$15=$U$16,$U$16=$U$18,$U$18=$U$14,$U$22=$U$14),40,""))))</f>
        <v/>
      </c>
      <c r="AD11" s="209" t="str">
        <f>IF(AC11="","",IF(AND($Q$63=1,$U$15=$U$16,$U$16=$U$18,$U$18=$U$14,$U$22=$U$14,$U$38=$U$22),120,IF(AND($Q$63=2,$U$15=$U$16,$U$16=$U$18,$U$18=$U$14,$U$22=$U$14,$U$38=$U$22),60,IF(AND($Q$63=3,$U$15=$U$16,$U$16=$U$18,$U$18=$U$14,$U$22=$U$14,$U$38=$U$22),40,""))))</f>
        <v/>
      </c>
      <c r="AE11" s="237">
        <f t="shared" si="1"/>
        <v>0</v>
      </c>
      <c r="AF11" s="186"/>
      <c r="AG11" s="238"/>
      <c r="AH11" s="238"/>
      <c r="AI11" s="238"/>
      <c r="AJ11" s="238"/>
    </row>
    <row r="12" spans="1:36" s="234" customFormat="1" ht="9.6" customHeight="1">
      <c r="A12" s="239"/>
      <c r="B12" s="240"/>
      <c r="C12" s="240"/>
      <c r="D12" s="256"/>
      <c r="E12" s="241"/>
      <c r="F12" s="241"/>
      <c r="G12" s="242"/>
      <c r="H12" s="243" t="s">
        <v>87</v>
      </c>
      <c r="I12" s="244"/>
      <c r="J12" s="259" t="str">
        <f>UPPER(IF(OR(I12="a",I12="as"),E11,IF(OR(I12="b",I12="bs"),E13,)))</f>
        <v/>
      </c>
      <c r="K12" s="266">
        <f>IF(OR(I12="a",I12="as"),I11,IF(OR(I12="b",I12="bs"),I13,))</f>
        <v>0</v>
      </c>
      <c r="L12" s="227"/>
      <c r="M12" s="265"/>
      <c r="N12" s="261"/>
      <c r="O12" s="262"/>
      <c r="P12" s="231"/>
      <c r="Q12" s="232"/>
      <c r="R12" s="233"/>
      <c r="T12" s="247" t="str">
        <f>'[4]glavni sodniki'!P26</f>
        <v xml:space="preserve"> </v>
      </c>
      <c r="U12" s="180" t="str">
        <f>IF(OR(I12="a",I12="as"),C11,IF(OR(I12="b",I12="bs"),C13,""))</f>
        <v/>
      </c>
      <c r="V12" s="208">
        <v>6</v>
      </c>
      <c r="W12" s="263" t="str">
        <f>UPPER(IF($D17="","",VLOOKUP($D17,'[4]m glavni turnir žrebna lista'!$A$7:$R$38,3)))</f>
        <v>BATOR MITJA</v>
      </c>
      <c r="X12" s="263" t="str">
        <f>PROPER(IF($D17="","",VLOOKUP($D17,'[4]m glavni turnir žrebna lista'!$A$7:$R$38,4)))</f>
        <v/>
      </c>
      <c r="Y12" s="249" t="str">
        <f t="shared" si="0"/>
        <v/>
      </c>
      <c r="Z12" s="249" t="str">
        <f>IF(Y12="","",IF(AND($Q$63=1,U16=U17),30,IF(AND($Q$63=2,U16=U17),15,IF(AND($Q$63=3,U16=U17),10,""))))</f>
        <v/>
      </c>
      <c r="AA12" s="249" t="str">
        <f>IF(Z12="","",IF(AND($Q$63=1,U16=U17,U17=U18),60,IF(AND($Q$63=2,U16=U17,U17=U18),30,IF(AND($Q$63=3,U16=U17,U17=U18),20,""))))</f>
        <v/>
      </c>
      <c r="AB12" s="249" t="str">
        <f>IF(AA12="","",IF(AND($Q$63=1,U16=$U$14,U16=U17,U17=U18),120,IF(AND($Q$63=2,U16=$U$14,U16=U17,U17=U18),60,IF(AND($Q$63=3,U16=$U$14,U16=U17,U17=U18),40,""))))</f>
        <v/>
      </c>
      <c r="AC12" s="249" t="str">
        <f>IF(AB12="","",IF(AND($Q$63=1,$U$17=$U$16,$U$16=$U$18,$U$18=$U$14,$U$22=$U$14),120,IF(AND($Q$63=2,$U$17=$U$16,$U$16=$U$18,$U$18=$U$14,$U$22=$U$14),60,IF(AND($Q$63=3,$U$17=$U$16,$U$16=$U$18,$U$18=$U$14,$U$22=$U$14),40,""))))</f>
        <v/>
      </c>
      <c r="AD12" s="249" t="str">
        <f>IF(AC12="","",IF(AND($Q$63=1,$U$17=$U$16,$U$16=$U$18,$U$18=$U$14,$U$22=$U$14,$U$38=$U$22),120,IF(AND($Q$63=2,$U$17=$U$16,$U$16=$U$18,$U$18=$U$14,$U$22=$U$14,$U$38=$U$22),60,IF(AND($Q$63=3,$U$17=$U$16,$U$16=$U$18,$U$18=$U$14,$U$22=$U$14,$U$38=$U$22),40,""))))</f>
        <v/>
      </c>
      <c r="AE12" s="250">
        <f t="shared" si="1"/>
        <v>0</v>
      </c>
      <c r="AF12" s="186"/>
      <c r="AG12" s="238"/>
      <c r="AH12" s="238"/>
      <c r="AI12" s="238"/>
      <c r="AJ12" s="238"/>
    </row>
    <row r="13" spans="1:36" s="234" customFormat="1" ht="9.6" customHeight="1">
      <c r="A13" s="239">
        <v>4</v>
      </c>
      <c r="B13" s="251">
        <f>IF($D13="","",VLOOKUP($D13,'[4]m glavni turnir žrebna lista'!$A$7:$R$38,17))</f>
        <v>0</v>
      </c>
      <c r="C13" s="251">
        <f>IF($D13="","",VLOOKUP($D13,'[4]m glavni turnir žrebna lista'!$A$7:$R$38,2))</f>
        <v>0</v>
      </c>
      <c r="D13" s="225">
        <v>18</v>
      </c>
      <c r="E13" s="252" t="str">
        <f>UPPER(IF($D13="","",VLOOKUP($D13,'[4]m glavni turnir žrebna lista'!$A$7:$R$38,3)))</f>
        <v>ŠEGA MARKO</v>
      </c>
      <c r="F13" s="252" t="str">
        <f>PROPER(IF($D13="","",VLOOKUP($D13,'[4]m glavni turnir žrebna lista'!$A$7:$R$38,4)))</f>
        <v/>
      </c>
      <c r="G13" s="252"/>
      <c r="H13" s="252">
        <f>IF($D13="","",VLOOKUP($D13,'[4]m glavni turnir žrebna lista'!$A$7:$R$38,5))</f>
        <v>0</v>
      </c>
      <c r="I13" s="253">
        <f>IF($D13="","",VLOOKUP($D13,'[4]m glavni turnir žrebna lista'!$A$7:$R$38,14))</f>
        <v>0</v>
      </c>
      <c r="J13" s="254"/>
      <c r="K13" s="228"/>
      <c r="L13" s="227"/>
      <c r="M13" s="265"/>
      <c r="N13" s="261"/>
      <c r="O13" s="262"/>
      <c r="P13" s="231"/>
      <c r="Q13" s="232"/>
      <c r="R13" s="233"/>
      <c r="T13" s="247" t="str">
        <f>'[4]glavni sodniki'!P27</f>
        <v xml:space="preserve"> </v>
      </c>
      <c r="U13" s="180">
        <f>IF($D13="","",VLOOKUP($D13,'[4]m glavni turnir žrebna lista'!$A$7:$R$38,2))</f>
        <v>0</v>
      </c>
      <c r="V13" s="208">
        <v>7</v>
      </c>
      <c r="W13" s="208" t="str">
        <f>UPPER(IF($D19="","",VLOOKUP($D19,'[4]m glavni turnir žrebna lista'!$A$7:$R$38,3)))</f>
        <v/>
      </c>
      <c r="X13" s="208" t="str">
        <f>PROPER(IF($D19="","",VLOOKUP($D19,'[4]m glavni turnir žrebna lista'!$A$7:$R$38,4)))</f>
        <v/>
      </c>
      <c r="Y13" s="209" t="str">
        <f t="shared" si="0"/>
        <v/>
      </c>
      <c r="Z13" s="209" t="str">
        <f>IF(Y13="","",IF(AND($Q$63=1,U20=U19),30,IF(AND($Q$63=2,U20=U19),15,IF(AND($Q$63=3,U20=U19),10,""))))</f>
        <v/>
      </c>
      <c r="AA13" s="209" t="str">
        <f>IF(Z13="","",IF(AND($Q$63=1,U20=U18,U20=U19),60,IF(AND($Q$63=2,U20=U18,U20=U19),30,IF(AND($Q$63=3,U20=U18,U20=U19),20,""))))</f>
        <v/>
      </c>
      <c r="AB13" s="209" t="str">
        <f>IF(AA13="","",IF(AND($Q$63=1,U20=U19,U19=U18,U18=$U$14),120,IF(AND($Q$63=2,U20=U19,U19=U18,U18=$U$14),60,IF(AND($Q$63=3,U20=U19,U19=U18,U18=$U$14),40,""))))</f>
        <v/>
      </c>
      <c r="AC13" s="209" t="str">
        <f>IF(AB13="","",IF(AND($Q$63=1,$U$19=$U$20,$U$20=$U$18,$U$18=$U$14,$U$22=$U$14),120,IF(AND($Q$63=2,$U$19=$U$20,$U$20=$U$18,$U$18=$U$14,$U$22=$U$14),60,IF(AND($Q$63=3,$U$19=$U$20,$U$20=$U$18,$U$18=$U$14,$U$22=$U$14),40,""))))</f>
        <v/>
      </c>
      <c r="AD13" s="209" t="str">
        <f>IF(AC13="","",IF(AND($Q$63=1,$U$19=$U$20,$U$20=$U$18,$U$18=$U$14,$U$22=$U$14,$U$38=$U$22),120,IF(AND($Q$63=2,$U$19=$U$20,$U$20=$U$18,$U$18=$U$14,$U$22=$U$14,$U$38=$U$22),60,IF(AND($Q$63=3,$U$19=$U$20,$U$20=$U$18,$U$18=$U$14,$U$22=$U$14,$U$38=$U$22),40,""))))</f>
        <v/>
      </c>
      <c r="AE13" s="237">
        <f t="shared" si="1"/>
        <v>0</v>
      </c>
      <c r="AF13" s="186"/>
      <c r="AG13" s="238"/>
      <c r="AH13" s="238"/>
      <c r="AI13" s="238"/>
      <c r="AJ13" s="238"/>
    </row>
    <row r="14" spans="1:36" s="234" customFormat="1" ht="9.6" customHeight="1">
      <c r="A14" s="239"/>
      <c r="B14" s="240"/>
      <c r="C14" s="240"/>
      <c r="D14" s="256"/>
      <c r="E14" s="227"/>
      <c r="F14" s="227"/>
      <c r="G14" s="267"/>
      <c r="H14" s="268"/>
      <c r="I14" s="257"/>
      <c r="J14" s="227"/>
      <c r="K14" s="228"/>
      <c r="L14" s="243" t="s">
        <v>87</v>
      </c>
      <c r="M14" s="258"/>
      <c r="N14" s="259" t="str">
        <f>UPPER(IF(OR(M14="a",M14="as"),L10,IF(OR(M14="b",M14="bs"),L18,)))</f>
        <v/>
      </c>
      <c r="O14" s="260">
        <f>IF(OR(M14="a",M14="as"),M10,IF(OR(M14="b",M14="bs"),M18,))</f>
        <v>0</v>
      </c>
      <c r="P14" s="231"/>
      <c r="Q14" s="232"/>
      <c r="R14" s="233"/>
      <c r="T14" s="247" t="str">
        <f>'[4]glavni sodniki'!P28</f>
        <v xml:space="preserve"> </v>
      </c>
      <c r="U14" s="180" t="str">
        <f>IF(OR(M14="a",M14="as"),$U$10,IF(OR(M14="b",M14="bs"),U18,""))</f>
        <v/>
      </c>
      <c r="V14" s="208">
        <v>8</v>
      </c>
      <c r="W14" s="263" t="str">
        <f>UPPER(IF($D21="","",VLOOKUP($D21,'[4]m glavni turnir žrebna lista'!$A$7:$R$38,3)))</f>
        <v>PODGORNIK BRANKO</v>
      </c>
      <c r="X14" s="263" t="str">
        <f>PROPER(IF($D21="","",VLOOKUP($D21,'[4]m glavni turnir žrebna lista'!$A$7:$R$38,4)))</f>
        <v>8</v>
      </c>
      <c r="Y14" s="249" t="str">
        <f t="shared" si="0"/>
        <v/>
      </c>
      <c r="Z14" s="249" t="str">
        <f>IF(Y14="","",IF(AND($Q$63=1,U21=U20),30,IF(AND($Q$63=2,U21=U20),15,IF(AND($Q$63=3,U21=U20),10,""))))</f>
        <v/>
      </c>
      <c r="AA14" s="249" t="str">
        <f>IF(Z14="","",IF(AND($Q$63=1,U20=U18,U21=U20),60,IF(AND($Q$63=2,U20=U18,U21=U20),30,IF(AND($Q$63=3,U20=U18,U21=U20),20,""))))</f>
        <v/>
      </c>
      <c r="AB14" s="249" t="str">
        <f>IF(AA14="","",IF(AND($Q$63=1,U21=U20,U20=U18,U18=$U$14),120,IF(AND($Q$63=2,U21=U20,U20=U18,U18=$U$14),60,IF(AND($Q$63=3,U21=U20,U20=U18,U18=$U$14),40,""))))</f>
        <v/>
      </c>
      <c r="AC14" s="249" t="str">
        <f>IF(AB14="","",IF(AND($Q$63=1,$U$21=$U$20,$U$20=$U$18,$U$18=$U$14,$U$22=$U$14),120,IF(AND($Q$63=2,$U$21=$U$20,$U$20=$U$18,$U$18=$U$14,$U$22=$U$14),60,IF(AND($Q$63=3,$U$21=$U$20,$U$20=$U$18,$U$18=$U$14,$U$22=$U$14),40,""))))</f>
        <v/>
      </c>
      <c r="AD14" s="249" t="str">
        <f>IF(AC14="","",IF(AND($Q$63=1,$U$21=$U$20,$U$20=$U$18,$U$18=$U$14,$U$22=$U$14,$U$38=$U$22),120,IF(AND($Q$63=2,$U$21=$U$20,$U$20=$U$18,$U$18=$U$14,$U$22=$U$14,$U$38=$U$22),60,IF(AND($Q$63=3,$U$21=$U$20,$U$20=$U$18,$U$18=$U$14,$U$22=$U$14,$U$38=$U$22),40,""))))</f>
        <v/>
      </c>
      <c r="AE14" s="250">
        <f t="shared" si="1"/>
        <v>0</v>
      </c>
      <c r="AF14" s="186"/>
      <c r="AG14" s="238"/>
      <c r="AH14" s="238"/>
      <c r="AI14" s="238"/>
      <c r="AJ14" s="238"/>
    </row>
    <row r="15" spans="1:36" s="234" customFormat="1" ht="9.6" customHeight="1">
      <c r="A15" s="239">
        <v>5</v>
      </c>
      <c r="B15" s="251" t="str">
        <f>IF($D15="","",VLOOKUP($D15,'[4]m glavni turnir žrebna lista'!$A$7:$R$38,17))</f>
        <v/>
      </c>
      <c r="C15" s="251" t="str">
        <f>IF($D15="","",VLOOKUP($D15,'[4]m glavni turnir žrebna lista'!$A$7:$R$38,2))</f>
        <v/>
      </c>
      <c r="D15" s="225"/>
      <c r="E15" s="252" t="s">
        <v>3</v>
      </c>
      <c r="F15" s="252" t="str">
        <f>PROPER(IF($D15="","",VLOOKUP($D15,'[4]m glavni turnir žrebna lista'!$A$7:$R$38,4)))</f>
        <v/>
      </c>
      <c r="G15" s="252"/>
      <c r="H15" s="252" t="str">
        <f>IF($D15="","",VLOOKUP($D15,'[4]m glavni turnir žrebna lista'!$A$7:$R$38,5))</f>
        <v/>
      </c>
      <c r="I15" s="226" t="str">
        <f>IF($D15="","",VLOOKUP($D15,'[4]m glavni turnir žrebna lista'!$A$7:$R$38,14))</f>
        <v/>
      </c>
      <c r="J15" s="227"/>
      <c r="K15" s="228"/>
      <c r="L15" s="227"/>
      <c r="M15" s="265"/>
      <c r="N15" s="254"/>
      <c r="O15" s="269"/>
      <c r="P15" s="229"/>
      <c r="Q15" s="230"/>
      <c r="R15" s="233"/>
      <c r="T15" s="247" t="str">
        <f>'[4]glavni sodniki'!P29</f>
        <v xml:space="preserve"> </v>
      </c>
      <c r="U15" s="180" t="str">
        <f>IF($D15="","",VLOOKUP($D15,'[4]m glavni turnir žrebna lista'!$A$7:$R$38,2))</f>
        <v/>
      </c>
      <c r="V15" s="208">
        <v>9</v>
      </c>
      <c r="W15" s="208" t="str">
        <f>UPPER(IF($D23="","",VLOOKUP($D23,'[4]m glavni turnir žrebna lista'!$A$7:$R$38,3)))</f>
        <v>GUNA BRANKO</v>
      </c>
      <c r="X15" s="208" t="str">
        <f>PROPER(IF($D23="","",VLOOKUP($D23,'[4]m glavni turnir žrebna lista'!$A$7:$R$38,4)))</f>
        <v>3</v>
      </c>
      <c r="Y15" s="209" t="str">
        <f t="shared" si="0"/>
        <v/>
      </c>
      <c r="Z15" s="209" t="str">
        <f>IF(Y15="","",IF(AND($Q$63=1,U24=U23),30,IF(AND($Q$63=2,U24=U23),15,IF(AND($Q$63=3,U24=U23),10,""))))</f>
        <v/>
      </c>
      <c r="AA15" s="209" t="str">
        <f>IF(Z15="","",IF(AND($Q$63=1,U26=U24,U24=U23),60,IF(AND($Q$63=2,U26=U24,U24=U23),30,IF(AND($Q$63=3,U26=U24,U24=U23),20,""))))</f>
        <v/>
      </c>
      <c r="AB15" s="209" t="str">
        <f>IF(AA15="","",IF(AND($Q$63=1,U23=U24,U24=U26,U26=U30),120,IF(AND($Q$63=2,U23=U24,U24=U26,U26=U30),60,IF(AND($Q$63=3,U23=U24,U24=U26,U26=U30),40,""))))</f>
        <v/>
      </c>
      <c r="AC15" s="209" t="str">
        <f>IF(AB15="","",IF(AND($Q$63=1,$U$23=$U$24,$U$24=$U$26,$U$26=$U$30,$U$30=$U$22),120,IF(AND($Q$63=2,$U$23=$U$24,$U$24=$U$26,$U$26=$U$30,$U$30=$U$22),60,IF(AND($Q$63=3,$U$23=$U$24,$U$24=$U$26,$U$26=$U$30,$U$30=$U$22),40,""))))</f>
        <v/>
      </c>
      <c r="AD15" s="209" t="str">
        <f>IF(AC15="","",IF(AND($Q$63=1,$U$23=$U$24,$U$24=$U$26,$U$26=$U$30,$U$30=$U$22,$U$38=$U$22),120,IF(AND($Q$63=2,$U$23=$U$24,$U$24=$U$26,$U$26=$U$30,$U$30=$U$22,$U$38=$U$22),60,IF(AND($Q$63=3,$U$23=$U$24,$U$24=$U$26,$U$26=$U$30,$U$30=$U$22,$U$38=$U$22),40,""))))</f>
        <v/>
      </c>
      <c r="AE15" s="237">
        <f t="shared" si="1"/>
        <v>0</v>
      </c>
      <c r="AF15" s="186"/>
      <c r="AG15" s="238"/>
      <c r="AH15" s="238"/>
      <c r="AI15" s="238"/>
      <c r="AJ15" s="238"/>
    </row>
    <row r="16" spans="1:36" s="234" customFormat="1" ht="9.6" customHeight="1" thickBot="1">
      <c r="A16" s="239"/>
      <c r="B16" s="240"/>
      <c r="C16" s="240"/>
      <c r="D16" s="256"/>
      <c r="E16" s="241"/>
      <c r="F16" s="241"/>
      <c r="G16" s="242"/>
      <c r="H16" s="243" t="s">
        <v>87</v>
      </c>
      <c r="I16" s="244"/>
      <c r="J16" s="252" t="s">
        <v>132</v>
      </c>
      <c r="K16" s="246">
        <f>IF(OR(I16="a",I16="as"),I15,IF(OR(I16="b",I16="bs"),I17,))</f>
        <v>0</v>
      </c>
      <c r="L16" s="227"/>
      <c r="M16" s="265"/>
      <c r="N16" s="229"/>
      <c r="O16" s="269"/>
      <c r="P16" s="229"/>
      <c r="Q16" s="230"/>
      <c r="R16" s="233"/>
      <c r="T16" s="270" t="str">
        <f>'[4]glavni sodniki'!P30</f>
        <v>Brez sodnika</v>
      </c>
      <c r="U16" s="180" t="str">
        <f>IF(OR(I16="a",I16="as"),C15,IF(OR(I16="b",I16="bs"),C17,""))</f>
        <v/>
      </c>
      <c r="V16" s="208">
        <v>10</v>
      </c>
      <c r="W16" s="263" t="str">
        <f>UPPER(IF($D25="","",VLOOKUP($D25,'[4]m glavni turnir žrebna lista'!$A$7:$R$38,3)))</f>
        <v/>
      </c>
      <c r="X16" s="263" t="str">
        <f>PROPER(IF($D25="","",VLOOKUP($D25,'[4]m glavni turnir žrebna lista'!$A$7:$R$38,4)))</f>
        <v/>
      </c>
      <c r="Y16" s="249" t="str">
        <f t="shared" si="0"/>
        <v/>
      </c>
      <c r="Z16" s="249" t="str">
        <f>IF(Y16="","",IF(AND($Q$63=1,U25=U24),30,IF(AND($Q$63=2,U25=U24),15,IF(AND($Q$63=3,U25=U24),10,""))))</f>
        <v/>
      </c>
      <c r="AA16" s="249" t="str">
        <f>IF(Z16="","",IF(AND($Q$63=1,U26=U25,U25=U24),60,IF(AND($Q$63=2,U26=U25,U25=U24),30,IF(AND($Q$63=3,U26=U25,U25=U24),20,""))))</f>
        <v/>
      </c>
      <c r="AB16" s="249" t="str">
        <f>IF(AA16="","",IF(AND($Q$63=1,U24=U25,U25=U26,U26=U30),120,IF(AND($Q$63=2,U24=U25,U25=U26,U26=U30),60,IF(AND($Q$63=3,U24=U25,U25=U26,U26=U30),40,""))))</f>
        <v/>
      </c>
      <c r="AC16" s="249" t="str">
        <f>IF(AB16="","",IF(AND($Q$63=1,$U$25=$U$24,$U$24=$U$26,$U$26=$U$30,$U$30=$U$22),120,IF(AND($Q$63=2,$U$25=$U$24,$U$24=$U$26,$U$26=$U$30,$U$30=$U$22),60,IF(AND($Q$63=3,$U$25=$U$24,$U$24=$U$26,$U$26=$U$30,$U$30=$U$22),40,""))))</f>
        <v/>
      </c>
      <c r="AD16" s="249" t="str">
        <f>IF(AC16="","",IF(AND($Q$63=1,$U$25=$U$24,$U$24=$U$26,$U$26=$U$30,$U$30=$U$22,$U$38=$U$22),120,IF(AND($Q$63=2,$U$25=$U$24,$U$24=$U$26,$U$26=$U$30,$U$30=$U$22,$U$38=$U$22),60,IF(AND($Q$63=3,$U$25=$U$24,$U$24=$U$26,$U$26=$U$30,$U$30=$U$22,$U$38=$U$22),40,""))))</f>
        <v/>
      </c>
      <c r="AE16" s="250">
        <f t="shared" si="1"/>
        <v>0</v>
      </c>
      <c r="AF16" s="186"/>
      <c r="AG16" s="238"/>
      <c r="AH16" s="238"/>
      <c r="AI16" s="238"/>
      <c r="AJ16" s="238"/>
    </row>
    <row r="17" spans="1:36" s="234" customFormat="1" ht="9.6" customHeight="1">
      <c r="A17" s="239">
        <v>6</v>
      </c>
      <c r="B17" s="251">
        <f>IF($D17="","",VLOOKUP($D17,'[4]m glavni turnir žrebna lista'!$A$7:$R$38,17))</f>
        <v>0</v>
      </c>
      <c r="C17" s="251">
        <f>IF($D17="","",VLOOKUP($D17,'[4]m glavni turnir žrebna lista'!$A$7:$R$38,2))</f>
        <v>0</v>
      </c>
      <c r="D17" s="225">
        <v>9</v>
      </c>
      <c r="E17" s="252" t="str">
        <f>UPPER(IF($D17="","",VLOOKUP($D17,'[4]m glavni turnir žrebna lista'!$A$7:$R$38,3)))</f>
        <v>BATOR MITJA</v>
      </c>
      <c r="F17" s="252" t="str">
        <f>PROPER(IF($D17="","",VLOOKUP($D17,'[4]m glavni turnir žrebna lista'!$A$7:$R$38,4)))</f>
        <v/>
      </c>
      <c r="G17" s="252"/>
      <c r="H17" s="252">
        <f>IF($D17="","",VLOOKUP($D17,'[4]m glavni turnir žrebna lista'!$A$7:$R$38,5))</f>
        <v>0</v>
      </c>
      <c r="I17" s="253">
        <f>IF($D17="","",VLOOKUP($D17,'[4]m glavni turnir žrebna lista'!$A$7:$R$38,14))</f>
        <v>0</v>
      </c>
      <c r="J17" s="254"/>
      <c r="K17" s="255"/>
      <c r="L17" s="227"/>
      <c r="M17" s="265"/>
      <c r="N17" s="229"/>
      <c r="O17" s="269"/>
      <c r="P17" s="229"/>
      <c r="Q17" s="230"/>
      <c r="R17" s="233"/>
      <c r="U17" s="180">
        <f>IF($D17="","",VLOOKUP($D17,'[4]m glavni turnir žrebna lista'!$A$7:$R$38,2))</f>
        <v>0</v>
      </c>
      <c r="V17" s="208">
        <v>11</v>
      </c>
      <c r="W17" s="208" t="str">
        <f>UPPER(IF($D27="","",VLOOKUP($D27,'[4]m glavni turnir žrebna lista'!$A$7:$R$38,3)))</f>
        <v>BURKELC SREČKO</v>
      </c>
      <c r="X17" s="208" t="str">
        <f>PROPER(IF($D27="","",VLOOKUP($D27,'[4]m glavni turnir žrebna lista'!$A$7:$R$38,4)))</f>
        <v/>
      </c>
      <c r="Y17" s="209" t="str">
        <f t="shared" si="0"/>
        <v/>
      </c>
      <c r="Z17" s="209" t="str">
        <f>IF(Y17="","",IF(AND($Q$63=1,U28=U27),30,IF(AND($Q$63=2,U28=U27),15,IF(AND($Q$63=3,U28=U27),10,""))))</f>
        <v/>
      </c>
      <c r="AA17" s="209" t="str">
        <f>IF(Z17="","",IF(AND($Q$63=1,U27=U26,U26=U28),60,IF(AND($Q$63=2,U27=U26,U26=U28),30,IF(AND($Q$63=3,U27=U26,U26=U28),20,""))))</f>
        <v/>
      </c>
      <c r="AB17" s="209" t="str">
        <f>IF(AA17="","",IF(AND($Q$63=1,U28=U27,U26=U27,U28=U30),120,IF(AND($Q$63=2,U28=U27,U26=U27,U28=U30),60,IF(AND($Q$63=3,U28=U26,U26=U27,U28=U30),40,""))))</f>
        <v/>
      </c>
      <c r="AC17" s="209" t="str">
        <f>IF(AB17="","",IF(AND($Q$63=1,$U$27=$U$28,$U$28=$U$26,$U$26=$U$30,$U$30=$U$22),120,IF(AND($Q$63=2,$U$27=$U$28,$U$28=$U$26,$U$26=$U$30,$U$30=$U$22),60,IF(AND($Q$63=3,$U$27=$U$28,$U$28=$U$26,$U$26=$U$30,$U$30=$U$22),40,""))))</f>
        <v/>
      </c>
      <c r="AD17" s="209" t="str">
        <f>IF(AC17="","",IF(AND($Q$63=1,$U$27=$U$28,$U$28=$U$26,$U$26=$U$30,$U$30=$U$22,$U$38=$U$22),120,IF(AND($Q$63=2,$U$27=$U$28,$U$28=$U$26,$U$26=$U$30,$U$30=$U$22,$U$38=$U$22),60,IF(AND($Q$63=3,$U$27=$U$28,$U$28=$U$26,$U$26=$U$30,$U$30=$U$22,$U$38=$U$22),40,""))))</f>
        <v/>
      </c>
      <c r="AE17" s="237">
        <f t="shared" si="1"/>
        <v>0</v>
      </c>
      <c r="AF17" s="186"/>
      <c r="AG17" s="238"/>
      <c r="AH17" s="238"/>
      <c r="AI17" s="238"/>
      <c r="AJ17" s="238"/>
    </row>
    <row r="18" spans="1:36" s="234" customFormat="1" ht="9.6" customHeight="1">
      <c r="A18" s="239"/>
      <c r="B18" s="240"/>
      <c r="C18" s="240"/>
      <c r="D18" s="256"/>
      <c r="E18" s="241"/>
      <c r="F18" s="241"/>
      <c r="G18" s="242"/>
      <c r="H18" s="227"/>
      <c r="I18" s="257"/>
      <c r="J18" s="243" t="s">
        <v>87</v>
      </c>
      <c r="K18" s="258"/>
      <c r="L18" s="259" t="str">
        <f>UPPER(IF(OR(K18="a",K18="as"),J16,IF(OR(K18="b",K18="bs"),J20,)))</f>
        <v/>
      </c>
      <c r="M18" s="271">
        <f>IF(OR(K18="a",K18="as"),K16,IF(OR(K18="b",K18="bs"),K20,))</f>
        <v>0</v>
      </c>
      <c r="N18" s="229"/>
      <c r="O18" s="269"/>
      <c r="P18" s="229"/>
      <c r="Q18" s="230"/>
      <c r="R18" s="233"/>
      <c r="U18" s="180" t="str">
        <f>IF(OR(K18="a",K18="as"),U16,IF(OR(K18="b",K18="bs"),U20,""))</f>
        <v/>
      </c>
      <c r="V18" s="208">
        <v>12</v>
      </c>
      <c r="W18" s="263" t="str">
        <f>UPPER(IF($D29="","",VLOOKUP($D29,'[4]m glavni turnir žrebna lista'!$A$7:$R$38,3)))</f>
        <v>JURIČIČ ALFREDO</v>
      </c>
      <c r="X18" s="263" t="str">
        <f>PROPER(IF($D29="","",VLOOKUP($D29,'[4]m glavni turnir žrebna lista'!$A$7:$R$38,4)))</f>
        <v/>
      </c>
      <c r="Y18" s="249" t="str">
        <f t="shared" si="0"/>
        <v/>
      </c>
      <c r="Z18" s="249" t="str">
        <f>IF(Y18="","",IF(AND($Q$63=1,U29=U28),30,IF(AND($Q$63=2,U29=U28),15,IF(AND($Q$63=3,U29=U28),10,""))))</f>
        <v/>
      </c>
      <c r="AA18" s="249" t="str">
        <f>IF(Z18="","",IF(AND($Q$63=1,U28=U26,U28=U29),60,IF(AND($Q$63=2,U28=U26,U26=U29),30,IF(AND($Q$63=3,U28=U26,U26=U29),20,""))))</f>
        <v/>
      </c>
      <c r="AB18" s="249" t="str">
        <f>IF(AA18="","",IF(AND($Q$63=1,U29=U28,U26=U28,U29=U30),120,IF(AND($Q$63=2,U29=U28,U26=U28,U29=U30),60,IF(AND($Q$63=3,U29=U26,U26=U28,U29=U30),40,""))))</f>
        <v/>
      </c>
      <c r="AC18" s="249" t="str">
        <f>IF(AB18="","",IF(AND($Q$63=1,$U$29=$U$28,$U$28=$U$26,$U$26=$U$30,$U$30=$U$22),120,IF(AND($Q$63=2,$U$29=$U$28,$U$28=$U$26,$U$26=$U$30,$U$30=$U$22),60,IF(AND($Q$63=3,$U$29=$U$28,$U$28=$U$26,$U$26=$U$30,$U$30=$U$22),40,""))))</f>
        <v/>
      </c>
      <c r="AD18" s="249" t="str">
        <f>IF(AC18="","",IF(AND($Q$63=1,$U$29=$U$28,$U$28=$U$26,$U$26=$U$30,$U$30=$U$22,$U$38=$U$22),120,IF(AND($Q$63=2,$U$29=$U$28,$U$28=$U$26,$U$26=$U$30,$U$30=$U$22,$U$38=$U$22),60,IF(AND($Q$63=3,$U$29=$U$28,$U$28=$U$26,$U$26=$U$30,$U$30=$U$22,$U$38=$U$22),40,""))))</f>
        <v/>
      </c>
      <c r="AE18" s="250">
        <f t="shared" si="1"/>
        <v>0</v>
      </c>
      <c r="AF18" s="186"/>
      <c r="AG18" s="238"/>
      <c r="AH18" s="238"/>
      <c r="AI18" s="238"/>
      <c r="AJ18" s="238"/>
    </row>
    <row r="19" spans="1:36" s="234" customFormat="1" ht="9.6" customHeight="1">
      <c r="A19" s="239">
        <v>7</v>
      </c>
      <c r="B19" s="251" t="str">
        <f>IF($D19="","",VLOOKUP($D19,'[4]m glavni turnir žrebna lista'!$A$7:$R$38,17))</f>
        <v/>
      </c>
      <c r="C19" s="251" t="str">
        <f>IF($D19="","",VLOOKUP($D19,'[4]m glavni turnir žrebna lista'!$A$7:$R$38,2))</f>
        <v/>
      </c>
      <c r="D19" s="225"/>
      <c r="E19" s="252" t="s">
        <v>3</v>
      </c>
      <c r="F19" s="252" t="str">
        <f>PROPER(IF($D19="","",VLOOKUP($D19,'[4]m glavni turnir žrebna lista'!$A$7:$R$38,4)))</f>
        <v/>
      </c>
      <c r="G19" s="252"/>
      <c r="H19" s="252" t="str">
        <f>IF($D19="","",VLOOKUP($D19,'[4]m glavni turnir žrebna lista'!$A$7:$R$38,5))</f>
        <v/>
      </c>
      <c r="I19" s="226" t="str">
        <f>IF($D19="","",VLOOKUP($D19,'[4]m glavni turnir žrebna lista'!$A$7:$R$38,14))</f>
        <v/>
      </c>
      <c r="J19" s="227"/>
      <c r="K19" s="264"/>
      <c r="L19" s="254"/>
      <c r="M19" s="262"/>
      <c r="N19" s="229"/>
      <c r="O19" s="269"/>
      <c r="P19" s="229"/>
      <c r="Q19" s="230"/>
      <c r="R19" s="233"/>
      <c r="U19" s="180" t="str">
        <f>IF($D19="","",VLOOKUP($D19,'[4]m glavni turnir žrebna lista'!$A$7:$R$38,2))</f>
        <v/>
      </c>
      <c r="V19" s="208">
        <v>13</v>
      </c>
      <c r="W19" s="208" t="str">
        <f>UPPER(IF($D31="","",VLOOKUP($D31,'[4]m glavni turnir žrebna lista'!$A$7:$R$38,3)))</f>
        <v/>
      </c>
      <c r="X19" s="208" t="str">
        <f>PROPER(IF($D31="","",VLOOKUP($D31,'[4]m glavni turnir žrebna lista'!$A$7:$R$38,4)))</f>
        <v/>
      </c>
      <c r="Y19" s="209" t="str">
        <f t="shared" si="0"/>
        <v/>
      </c>
      <c r="Z19" s="209" t="str">
        <f>IF(Y19="","",IF(AND($Q$63=1,U32=U31),30,IF(AND($Q$63=2,U32=U31),15,IF(AND($Q$63=3,U32=U31),10,""))))</f>
        <v/>
      </c>
      <c r="AA19" s="209" t="str">
        <f>IF(Z19="","",IF(AND($Q$63=1,U34=U32,U32=U31),60,IF(AND($Q$63=2,U34=U32,U32=U31),30,IF(AND($Q$63=3,U34=U32,U32=U31),20,""))))</f>
        <v/>
      </c>
      <c r="AB19" s="209" t="str">
        <f>IF(AA19="","",IF(AND($Q$63=1,U31=U32,U32=U34,U30=U34),120,IF(AND($Q$63=2,U31=U32,U32=U34,U30=U34),60,IF(AND($Q$63=3,U31=U32,U32=U34,U30=U34),40,""))))</f>
        <v/>
      </c>
      <c r="AC19" s="209" t="str">
        <f>IF(AB19="","",IF(AND($Q$63=1,$U$31=$U$32,$U$32=$U$34,$U$34=$U$30,$U$30=$U$22),120,IF(AND($Q$63=2,$U$31=$U$32,$U$32=$U$34,$U$34=$U$30,$U$30=$U$22),60,IF(AND($Q$63=3,$U$31=$U$32,$U$32=$U$34,$U$34=$U$30,$U$30=$U$22),40,""))))</f>
        <v/>
      </c>
      <c r="AD19" s="209" t="str">
        <f>IF(AC19="","",IF(AND($Q$63=1,$U$31=$U$32,$U$32=$U$34,$U$34=$U$30,$U$30=$U$22,$U$38=$U$22),120,IF(AND($Q$63=2,$U$31=$U$32,$U$32=$U$34,$U$34=$U$30,$U$30=$U$22,$U$38=$U$22),60,IF(AND($Q$63=3,$U$31=$U$32,$U$32=$U$34,$U$34=$U$30,$U$30=$U$22,$U$38=$U$22),40,""))))</f>
        <v/>
      </c>
      <c r="AE19" s="237">
        <f t="shared" si="1"/>
        <v>0</v>
      </c>
      <c r="AF19" s="186"/>
      <c r="AG19" s="238"/>
      <c r="AH19" s="238"/>
      <c r="AI19" s="238"/>
      <c r="AJ19" s="238"/>
    </row>
    <row r="20" spans="1:36" s="234" customFormat="1" ht="9.6" customHeight="1">
      <c r="A20" s="239"/>
      <c r="B20" s="240"/>
      <c r="C20" s="240"/>
      <c r="D20" s="240"/>
      <c r="E20" s="241"/>
      <c r="F20" s="241"/>
      <c r="G20" s="242"/>
      <c r="H20" s="243" t="s">
        <v>87</v>
      </c>
      <c r="I20" s="244"/>
      <c r="J20" s="245" t="s">
        <v>133</v>
      </c>
      <c r="K20" s="272">
        <f>IF(OR(I20="a",I20="as"),I19,IF(OR(I20="b",I20="bs"),I21,))</f>
        <v>0</v>
      </c>
      <c r="L20" s="227"/>
      <c r="M20" s="262"/>
      <c r="N20" s="229"/>
      <c r="O20" s="269"/>
      <c r="P20" s="229"/>
      <c r="Q20" s="230"/>
      <c r="R20" s="233"/>
      <c r="U20" s="180" t="str">
        <f>IF(OR(I20="a",I20="as"),C19,IF(OR(I20="b",I20="bs"),C21,""))</f>
        <v/>
      </c>
      <c r="V20" s="208">
        <v>14</v>
      </c>
      <c r="W20" s="263" t="str">
        <f>UPPER(IF($D33="","",VLOOKUP($D33,'[4]m glavni turnir žrebna lista'!$A$7:$R$38,3)))</f>
        <v>ZOBEC TOMI</v>
      </c>
      <c r="X20" s="263" t="str">
        <f>PROPER(IF($D33="","",VLOOKUP($D33,'[4]m glavni turnir žrebna lista'!$A$7:$R$38,4)))</f>
        <v/>
      </c>
      <c r="Y20" s="249" t="str">
        <f t="shared" si="0"/>
        <v/>
      </c>
      <c r="Z20" s="249" t="str">
        <f>IF(Y20="","",IF(AND($Q$63=1,U33=U32),30,IF(AND($Q$63=2,U33=U32),15,IF(AND($Q$63=3,U33=U32),10,""))))</f>
        <v/>
      </c>
      <c r="AA20" s="249" t="str">
        <f>IF(Z20="","",IF(AND($Q$63=1,U34=U33,U33=U32),60,IF(AND($Q$63=2,U34=U33,U33=U32),30,IF(AND($Q$63=3,U34=U33,U33=U32),20,""))))</f>
        <v/>
      </c>
      <c r="AB20" s="249" t="str">
        <f>IF(AA20="","",IF(AND($Q$63=1,U32=U33,U33=U30,U30=U34),120,IF(AND($Q$63=2,U32=U33,U33=U30,U30=U34),60,IF(AND($Q$63=3,U32=U33,U33=U30,U30=U34),40,""))))</f>
        <v/>
      </c>
      <c r="AC20" s="249" t="str">
        <f>IF(AB20="","",IF(AND($Q$63=1,$U$33=$U$32,$U$32=$U$34,$U$34=$U$30,$U$30=$U$22),120,IF(AND($Q$63=2,$U$33=$U$32,$U$32=$U$34,$U$34=$U$30,$U$30=$U$22),60,IF(AND($Q$63=3,$U$33=$U$32,$U$32=$U$34,$U$34=$U$30,$U$30=$U$22),40,""))))</f>
        <v/>
      </c>
      <c r="AD20" s="249" t="str">
        <f>IF(AC20="","",IF(AND($Q$63=1,$U$33=$U$32,$U$32=$U$34,$U$34=$U$30,$U$30=$U$22,$U$38=$U$22),120,IF(AND($Q$63=2,$U$33=$U$32,$U$32=$U$34,$U$34=$U$30,$U$30=$U$22,$U$38=$U$22),60,IF(AND($Q$63=3,$U$33=$U$32,$U$32=$U$34,$U$34=$U$30,$U$30=$U$22,$U$38=$U$22),40,""))))</f>
        <v/>
      </c>
      <c r="AE20" s="250">
        <f t="shared" si="1"/>
        <v>0</v>
      </c>
      <c r="AF20" s="186"/>
      <c r="AG20" s="238"/>
      <c r="AH20" s="238"/>
      <c r="AI20" s="238"/>
      <c r="AJ20" s="238"/>
    </row>
    <row r="21" spans="1:36" s="234" customFormat="1" ht="9.6" customHeight="1">
      <c r="A21" s="223">
        <v>8</v>
      </c>
      <c r="B21" s="224">
        <f>IF($D21="","",VLOOKUP($D21,'[4]m glavni turnir žrebna lista'!$A$7:$R$38,17))</f>
        <v>0</v>
      </c>
      <c r="C21" s="224">
        <f>IF($D21="","",VLOOKUP($D21,'[4]m glavni turnir žrebna lista'!$A$7:$R$38,2))</f>
        <v>0</v>
      </c>
      <c r="D21" s="225">
        <v>8</v>
      </c>
      <c r="E21" s="224" t="str">
        <f>UPPER(IF($D21="","",VLOOKUP($D21,'[4]m glavni turnir žrebna lista'!$A$7:$R$38,3)))</f>
        <v>PODGORNIK BRANKO</v>
      </c>
      <c r="F21" s="224" t="str">
        <f>PROPER(IF($D21="","",VLOOKUP($D21,'[4]m glavni turnir žrebna lista'!$A$7:$R$38,4)))</f>
        <v>8</v>
      </c>
      <c r="G21" s="224"/>
      <c r="H21" s="224">
        <f>IF($D21="","",VLOOKUP($D21,'[4]m glavni turnir žrebna lista'!$A$7:$R$38,5))</f>
        <v>0</v>
      </c>
      <c r="I21" s="253">
        <f>IF($D21="","",VLOOKUP($D21,'[4]m glavni turnir žrebna lista'!$A$7:$R$38,14))</f>
        <v>0</v>
      </c>
      <c r="J21" s="254"/>
      <c r="K21" s="228"/>
      <c r="L21" s="227"/>
      <c r="M21" s="262"/>
      <c r="N21" s="229"/>
      <c r="O21" s="269"/>
      <c r="P21" s="229"/>
      <c r="Q21" s="230"/>
      <c r="R21" s="233"/>
      <c r="U21" s="180">
        <f>IF($D21="","",VLOOKUP($D21,'[4]m glavni turnir žrebna lista'!$A$7:$R$38,2))</f>
        <v>0</v>
      </c>
      <c r="V21" s="208">
        <v>15</v>
      </c>
      <c r="W21" s="208" t="str">
        <f>UPPER(IF($D35="","",VLOOKUP($D35,'[4]m glavni turnir žrebna lista'!$A$7:$R$38,3)))</f>
        <v/>
      </c>
      <c r="X21" s="208" t="str">
        <f>PROPER(IF($D35="","",VLOOKUP($D35,'[4]m glavni turnir žrebna lista'!$A$7:$R$38,4)))</f>
        <v/>
      </c>
      <c r="Y21" s="209" t="str">
        <f t="shared" si="0"/>
        <v/>
      </c>
      <c r="Z21" s="209" t="str">
        <f>IF(Y21="","",IF(AND($Q$63=1,U36=U35),30,IF(AND($Q$63=2,U36=U35),15,IF(AND($Q$63=3,U36=U35),10,""))))</f>
        <v/>
      </c>
      <c r="AA21" s="209" t="str">
        <f>IF(Z21="","",IF(AND($Q$63=1,U35=U34,U34=U36),60,IF(AND($Q$63=2,U35=U34,U34=U36),30,IF(AND($Q$63=3,U35=U34,U34=U36),20,""))))</f>
        <v/>
      </c>
      <c r="AB21" s="209" t="str">
        <f>IF(AA21="","",IF(AND($Q$63=1,U30=U34,U34=U35,U35=U36),120,IF(AND($Q$63=2,U30=U34,U34=U35,U35=U36),60,IF(AND($Q$63=3,U30=U34,U34=U35,U35=U36),40,""))))</f>
        <v/>
      </c>
      <c r="AC21" s="209" t="str">
        <f>IF(AB21="","",IF(AND($Q$63=1,$U$35=$U$36,$U$36=$U$34,$U$34=$U$30,$U$30=$U$22),120,IF(AND($Q$63=2,$U$35=$U$36,$U$36=$U$34,$U$34=$U$30,$U$30=$U$22),60,IF(AND($Q$63=3,$U$35=$U$36,$U$36=$U$34,$U$34=$U$30,$U$30=$U$22),40,""))))</f>
        <v/>
      </c>
      <c r="AD21" s="209" t="str">
        <f>IF(AC21="","",IF(AND($Q$63=1,$U$35=$U$36,$U$36=$U$34,$U$34=$U$30,$U$30=$U$22,$U$38=$U$22),120,IF(AND($Q$63=2,$U$35=$U$36,$U$36=$U$34,$U$34=$U$30,$U$30=$U$22,$U$38=$U$22),60,IF(AND($Q$63=3,$U$35=$U$36,$U$36=$U$34,$U$34=$U$30,$U$30=$U$22,$U$38=$U$22),40,""))))</f>
        <v/>
      </c>
      <c r="AE21" s="237">
        <f t="shared" si="1"/>
        <v>0</v>
      </c>
      <c r="AF21" s="186"/>
      <c r="AG21" s="238"/>
      <c r="AH21" s="238"/>
      <c r="AI21" s="238"/>
      <c r="AJ21" s="238"/>
    </row>
    <row r="22" spans="1:36" s="234" customFormat="1" ht="9.6" customHeight="1">
      <c r="A22" s="239"/>
      <c r="B22" s="240"/>
      <c r="C22" s="240"/>
      <c r="D22" s="240"/>
      <c r="E22" s="268"/>
      <c r="F22" s="268"/>
      <c r="G22" s="273"/>
      <c r="H22" s="268"/>
      <c r="I22" s="257"/>
      <c r="J22" s="227"/>
      <c r="K22" s="228"/>
      <c r="L22" s="227"/>
      <c r="M22" s="262"/>
      <c r="N22" s="243" t="s">
        <v>87</v>
      </c>
      <c r="O22" s="258"/>
      <c r="P22" s="259" t="str">
        <f>UPPER(IF(OR(O22="a",O22="as"),N14,IF(OR(O22="b",O22="bs"),N30,)))</f>
        <v/>
      </c>
      <c r="Q22" s="274">
        <f>IF(OR(O22="a",O22="as"),O14,IF(OR(O22="b",O22="bs"),O30,))</f>
        <v>0</v>
      </c>
      <c r="R22" s="233"/>
      <c r="U22" s="180" t="str">
        <f>IF(OR(O22="a",O22="as"),$U$14,IF(OR(O22="b",O22="bs"),U30,""))</f>
        <v/>
      </c>
      <c r="V22" s="208">
        <v>16</v>
      </c>
      <c r="W22" s="263" t="str">
        <f>UPPER(IF($D37="","",VLOOKUP($D37,'[4]m glavni turnir žrebna lista'!$A$7:$R$38,3)))</f>
        <v>FRECE MATJAŽ</v>
      </c>
      <c r="X22" s="263" t="str">
        <f>PROPER(IF($D37="","",VLOOKUP($D37,'[4]m glavni turnir žrebna lista'!$A$7:$R$38,4)))</f>
        <v>6</v>
      </c>
      <c r="Y22" s="249" t="str">
        <f t="shared" si="0"/>
        <v/>
      </c>
      <c r="Z22" s="249" t="str">
        <f>IF(Y22="","",IF(AND($Q$63=1,U37=U36),30,IF(AND($Q$63=2,U37=U36),15,IF(AND($Q$63=3,U37=U36),10,""))))</f>
        <v/>
      </c>
      <c r="AA22" s="249" t="str">
        <f>IF(Z22="","",IF(AND($Q$63=1,U36=U34,U34=U37),60,IF(AND($Q$63=2,U36=U34,U34=U37),30,IF(AND($Q$63=3,U36=U34,U34=U37),20,""))))</f>
        <v/>
      </c>
      <c r="AB22" s="249" t="str">
        <f>IF(AA22="","",IF(AND($Q$63=1,U30=U34,U34=U36,U36=U37),120,IF(AND($Q$63=2,U30=U34,U34=U36,U36=U37),60,IF(AND($Q$63=3,U30=U34,U34=U36,U36=U37),40,""))))</f>
        <v/>
      </c>
      <c r="AC22" s="249" t="str">
        <f>IF(AB22="","",IF(AND($Q$63=1,$U$37=$U$36,$U$36=$U$34,$U$34=$U$30,$U$30=$U$22),120,IF(AND($Q$63=2,$U$37=$U$36,$U$36=$U$34,$U$34=$U$30,$U$30=$U$22),60,IF(AND($Q$63=3,$U$37=$U$36,$U$36=$U$34,$U$34=$U$30,$U$30=$U$22),40,""))))</f>
        <v/>
      </c>
      <c r="AD22" s="249" t="str">
        <f>IF(AC22="","",IF(AND($Q$63=1,$U$37=$U$36,$U$36=$U$34,$U$34=$U$30,$U$30=$U$22,$U$38=$U$22),120,IF(AND($Q$63=2,$U$37=$U$36,$U$36=$U$34,$U$34=$U$30,$U$30=$U$22,$U$38=$U$22),60,IF(AND($Q$63=3,$U$37=$U$36,$U$36=$U$34,$U$34=$U$30,$U$30=$U$22,$U$38=$U$22),40,""))))</f>
        <v/>
      </c>
      <c r="AE22" s="250">
        <f t="shared" si="1"/>
        <v>0</v>
      </c>
      <c r="AF22" s="186"/>
      <c r="AG22" s="238"/>
      <c r="AH22" s="238"/>
      <c r="AI22" s="238"/>
      <c r="AJ22" s="238"/>
    </row>
    <row r="23" spans="1:36" s="234" customFormat="1" ht="9.6" customHeight="1">
      <c r="A23" s="223">
        <v>9</v>
      </c>
      <c r="B23" s="224">
        <f>IF($D23="","",VLOOKUP($D23,'[4]m glavni turnir žrebna lista'!$A$7:$R$38,17))</f>
        <v>0</v>
      </c>
      <c r="C23" s="224">
        <f>IF($D23="","",VLOOKUP($D23,'[4]m glavni turnir žrebna lista'!$A$7:$R$38,2))</f>
        <v>0</v>
      </c>
      <c r="D23" s="225">
        <v>3</v>
      </c>
      <c r="E23" s="224" t="str">
        <f>UPPER(IF($D23="","",VLOOKUP($D23,'[4]m glavni turnir žrebna lista'!$A$7:$R$38,3)))</f>
        <v>GUNA BRANKO</v>
      </c>
      <c r="F23" s="224" t="str">
        <f>PROPER(IF($D23="","",VLOOKUP($D23,'[4]m glavni turnir žrebna lista'!$A$7:$R$38,4)))</f>
        <v>3</v>
      </c>
      <c r="G23" s="224"/>
      <c r="H23" s="224">
        <f>IF($D23="","",VLOOKUP($D23,'[4]m glavni turnir žrebna lista'!$A$7:$R$38,5))</f>
        <v>0</v>
      </c>
      <c r="I23" s="226">
        <f>IF($D23="","",VLOOKUP($D23,'[4]m glavni turnir žrebna lista'!$A$7:$R$38,14))</f>
        <v>0</v>
      </c>
      <c r="J23" s="227"/>
      <c r="K23" s="228"/>
      <c r="L23" s="227"/>
      <c r="M23" s="262"/>
      <c r="N23" s="229"/>
      <c r="O23" s="269"/>
      <c r="P23" s="254"/>
      <c r="Q23" s="269"/>
      <c r="R23" s="233"/>
      <c r="U23" s="180">
        <f>IF($D23="","",VLOOKUP($D23,'[4]m glavni turnir žrebna lista'!$A$7:$R$38,2))</f>
        <v>0</v>
      </c>
      <c r="V23" s="208">
        <v>17</v>
      </c>
      <c r="W23" s="208" t="str">
        <f>UPPER(IF($D39="","",VLOOKUP($D39,'[4]m glavni turnir žrebna lista'!$A$7:$R$38,3)))</f>
        <v>DOLČIČ BRANE</v>
      </c>
      <c r="X23" s="208" t="str">
        <f>PROPER(IF($D39="","",VLOOKUP($D39,'[4]m glavni turnir žrebna lista'!$A$7:$R$38,4)))</f>
        <v>7</v>
      </c>
      <c r="Y23" s="209" t="str">
        <f t="shared" si="0"/>
        <v/>
      </c>
      <c r="Z23" s="209" t="str">
        <f>IF(Y23="","",IF(AND($Q$63=1,U40=U39),30,IF(AND($Q$63=2,U40=U39),15,IF(AND($Q$63=3,U40=U39),10,""))))</f>
        <v/>
      </c>
      <c r="AA23" s="209" t="str">
        <f>IF(Z23="","",IF(AND($Q$63=1,U39=U40,U40=U42),60,IF(AND($Q$63=2,U39=U40,U40=U42),30,IF(AND($Q$63=3,U39=U40,U40=U42),20,""))))</f>
        <v/>
      </c>
      <c r="AB23" s="209" t="str">
        <f>IF(AA23="","",IF(AND($Q$63=1,U46=U42,U42=U40,U40=U39),120,IF(AND($Q$63=2,U46=U42,U42=U40,U40=U39),60,IF(AND($Q$63=3,U46=U42,U42=U40,U40=U39),40,""))))</f>
        <v/>
      </c>
      <c r="AC23" s="209" t="str">
        <f>IF(AB23="","",IF(AND($Q$63=1,$U$39=$U$40,$U$40=$U$42,$U$42=$U$46,$U$46=$U$54),120,IF(AND($Q$63=2,$U$39=$U$40,$U$40=$U$42,$U$42=$U$46,$U$46=$U$54),60,IF(AND($Q$63=3,$U$39=$U$40,$U$40=$U$42,$U$42=$U$46,$U$46=$U$54),40,""))))</f>
        <v/>
      </c>
      <c r="AD23" s="209" t="str">
        <f>IF(AC23="","",IF(AND($Q$63=1,$U$39=$U$40,$U$40=$U$42,$U$42=$U$46,$U$46=$U$54,$U$38=$U$54),120,IF(AND($Q$63=2,$U$39=$U$40,$U$40=$U$42,$U$42=$U$46,$U$46=$U$54,$U$38=$U$54),60,IF(AND($Q$63=3,$U$39=$U$40,$U$40=$U$42,$U$42=$U$46,$U$46=$U$54,$U$38=$U$54),40,""))))</f>
        <v/>
      </c>
      <c r="AE23" s="237">
        <f t="shared" si="1"/>
        <v>0</v>
      </c>
      <c r="AF23" s="186"/>
      <c r="AG23" s="238"/>
      <c r="AH23" s="238"/>
      <c r="AI23" s="238"/>
      <c r="AJ23" s="238"/>
    </row>
    <row r="24" spans="1:36" s="234" customFormat="1" ht="9.6" customHeight="1">
      <c r="A24" s="239"/>
      <c r="B24" s="240"/>
      <c r="C24" s="240"/>
      <c r="D24" s="240"/>
      <c r="E24" s="241"/>
      <c r="F24" s="241"/>
      <c r="G24" s="242"/>
      <c r="H24" s="243" t="s">
        <v>87</v>
      </c>
      <c r="I24" s="244" t="s">
        <v>121</v>
      </c>
      <c r="J24" s="245" t="str">
        <f>UPPER(IF(OR(I24="a",I24="as"),E23,IF(OR(I24="b",I24="bs"),E25,)))</f>
        <v>GUNA BRANKO</v>
      </c>
      <c r="K24" s="246">
        <f>IF(OR(I24="a",I24="as"),I23,IF(OR(I24="b",I24="bs"),I25,))</f>
        <v>0</v>
      </c>
      <c r="L24" s="227"/>
      <c r="M24" s="262"/>
      <c r="N24" s="229"/>
      <c r="O24" s="269"/>
      <c r="P24" s="229"/>
      <c r="Q24" s="269"/>
      <c r="R24" s="233"/>
      <c r="U24" s="180">
        <f>IF(OR(I24="a",I24="as"),C23,IF(OR(I24="b",I24="bs"),C25,""))</f>
        <v>0</v>
      </c>
      <c r="V24" s="208">
        <v>18</v>
      </c>
      <c r="W24" s="263" t="str">
        <f>UPPER(IF($D41="","",VLOOKUP($D41,'[4]m glavni turnir žrebna lista'!$A$7:$R$38,3)))</f>
        <v/>
      </c>
      <c r="X24" s="263" t="str">
        <f>PROPER(IF($D41="","",VLOOKUP($D41,'[4]m glavni turnir žrebna lista'!$A$7:$R$38,4)))</f>
        <v/>
      </c>
      <c r="Y24" s="249" t="str">
        <f t="shared" si="0"/>
        <v/>
      </c>
      <c r="Z24" s="249" t="str">
        <f>IF(Y24="","",IF(AND($Q$63=1,U41=U40),30,IF(AND($Q$63=2,U41=U40),15,IF(AND($Q$63=3,U41=U40),10,""))))</f>
        <v/>
      </c>
      <c r="AA24" s="249" t="str">
        <f>IF(Z24="","",IF(AND($Q$63=1,U40=U41,U41=U42),60,IF(AND($Q$63=2,U40=U41,U41=U42),30,IF(AND($Q$63=3,U40=U41,U41=U42),20,""))))</f>
        <v/>
      </c>
      <c r="AB24" s="249" t="str">
        <f>IF(AA24="","",IF(AND($Q$63=1,U46=U42,U42=U40,U40=U41),120,IF(AND($Q$63=2,U46=U42,U42=U40,U40=U41),60,IF(AND($Q$63=3,U46=U42,U42=U40,U41=U40),40,""))))</f>
        <v/>
      </c>
      <c r="AC24" s="249" t="str">
        <f>IF(AB24="","",IF(AND($Q$63=1,$U$41=$U$40,$U$40=$U$42,$U$42=$U$46,$U$46=$U$54),120,IF(AND($Q$63=2,$U$41=$U$40,$U$40=$U$42,$U$42=$U$46,$U$46=$U$54),60,IF(AND($Q$63=3,$U$41=$U$40,$U$40=$U$42,$U$42=$U$46,$U$46=$U$54),40,""))))</f>
        <v/>
      </c>
      <c r="AD24" s="249" t="str">
        <f>IF(AC24="","",IF(AND($Q$63=1,$U$41=$U$40,$U$40=$U$42,$U$42=$U$46,$U$46=$U$54,$U$38=$U$54),120,IF(AND($Q$63=2,$U$41=$U$40,$U$40=$U$42,$U$42=$U$46,$U$46=$U$54,$U$38=$U$54),60,IF(AND($Q$63=3,$U$41=$U$40,$U$40=$U$42,$U$42=$U$46,$U$46=$U$54,$U$38=$U$54),40,""))))</f>
        <v/>
      </c>
      <c r="AE24" s="250">
        <f t="shared" si="1"/>
        <v>0</v>
      </c>
      <c r="AF24" s="186"/>
      <c r="AG24" s="238"/>
      <c r="AH24" s="238"/>
      <c r="AI24" s="238"/>
      <c r="AJ24" s="238"/>
    </row>
    <row r="25" spans="1:36" s="234" customFormat="1" ht="9.6" customHeight="1">
      <c r="A25" s="239">
        <v>10</v>
      </c>
      <c r="B25" s="251" t="str">
        <f>IF($D25="","",VLOOKUP($D25,'[4]m glavni turnir žrebna lista'!$A$7:$R$38,17))</f>
        <v/>
      </c>
      <c r="C25" s="251" t="str">
        <f>IF($D25="","",VLOOKUP($D25,'[4]m glavni turnir žrebna lista'!$A$7:$R$38,2))</f>
        <v/>
      </c>
      <c r="D25" s="225"/>
      <c r="E25" s="252" t="s">
        <v>3</v>
      </c>
      <c r="F25" s="252" t="str">
        <f>PROPER(IF($D25="","",VLOOKUP($D25,'[4]m glavni turnir žrebna lista'!$A$7:$R$38,4)))</f>
        <v/>
      </c>
      <c r="G25" s="252"/>
      <c r="H25" s="252" t="str">
        <f>IF($D25="","",VLOOKUP($D25,'[4]m glavni turnir žrebna lista'!$A$7:$R$38,5))</f>
        <v/>
      </c>
      <c r="I25" s="253" t="str">
        <f>IF($D25="","",VLOOKUP($D25,'[4]m glavni turnir žrebna lista'!$A$7:$R$38,14))</f>
        <v/>
      </c>
      <c r="J25" s="254"/>
      <c r="K25" s="255"/>
      <c r="L25" s="227"/>
      <c r="M25" s="262"/>
      <c r="N25" s="229"/>
      <c r="O25" s="269"/>
      <c r="P25" s="229"/>
      <c r="Q25" s="269"/>
      <c r="R25" s="233"/>
      <c r="U25" s="180" t="str">
        <f>IF($D25="","",VLOOKUP($D25,'[4]m glavni turnir žrebna lista'!$A$7:$R$38,2))</f>
        <v/>
      </c>
      <c r="V25" s="208">
        <v>19</v>
      </c>
      <c r="W25" s="208" t="str">
        <f>UPPER(IF($D43="","",VLOOKUP($D43,'[4]m glavni turnir žrebna lista'!$A$7:$R$38,3)))</f>
        <v>PERGAR ANDREJ</v>
      </c>
      <c r="X25" s="208" t="str">
        <f>PROPER(IF($D43="","",VLOOKUP($D43,'[4]m glavni turnir žrebna lista'!$A$7:$R$38,4)))</f>
        <v/>
      </c>
      <c r="Y25" s="209" t="str">
        <f t="shared" si="0"/>
        <v/>
      </c>
      <c r="Z25" s="209" t="str">
        <f>IF(Y25="","",IF(AND($Q$63=1,U44=U43),30,IF(AND($Q$63=2,U44=U43),15,IF(AND($Q$63=3,U44=U43),10,""))))</f>
        <v/>
      </c>
      <c r="AA25" s="209" t="str">
        <f>IF(Z25="","",IF(AND($Q$63=1,U44=U42,U44=U43),60,IF(AND($Q$63=2,U42=U44,U44=U43),30,IF(AND($Q$63=3,U42=U44,U44=U43),20,""))))</f>
        <v/>
      </c>
      <c r="AB25" s="209" t="str">
        <f>IF(AA25="","",IF(AND($Q$63=1,U46=U42,U42=U44,U44=U43),120,IF(AND($Q$63=2,U46=U42,U42=U44,U44=U43),60,IF(AND($Q$63=3,U46=U42,U42=U44,U44=U43),40,""))))</f>
        <v/>
      </c>
      <c r="AC25" s="209" t="str">
        <f>IF(AB25="","",IF(AND($Q$63=1,$U$43=$U$44,$U$44=$U$42,$U$42=$U$46,$U$46=$U$54),120,IF(AND($Q$63=2,$U$43=$U$44,$U$44=$U$42,$U$42=$U$46,$U$46=$U$54),60,IF(AND($Q$63=3,$U$43=$U$44,$U$44=$U$42,$U$42=$U$46,$U$46=$U$54),40,""))))</f>
        <v/>
      </c>
      <c r="AD25" s="209" t="str">
        <f>IF(AC25="","",IF(AND($Q$63=1,$U$43=$U$44,$U$44=$U$42,$U$42=$U$46,$U$46=$U$54,$U$38=$U$54),120,IF(AND($Q$63=2,$U$43=$U$44,$U$44=$U$42,$U$42=$U$46,$U$46=$U$54,$U$38=$U$54),60,IF(AND($Q$63=3,$U$43=$U$44,$U$44=$U$42,$U$42=$U$46,$U$46=$U$54,$U$38=$U$54),40,""))))</f>
        <v/>
      </c>
      <c r="AE25" s="237">
        <f t="shared" si="1"/>
        <v>0</v>
      </c>
      <c r="AF25" s="186"/>
      <c r="AG25" s="238"/>
      <c r="AH25" s="238"/>
      <c r="AI25" s="238"/>
      <c r="AJ25" s="238"/>
    </row>
    <row r="26" spans="1:36" s="234" customFormat="1" ht="9.6" customHeight="1">
      <c r="A26" s="239"/>
      <c r="B26" s="240"/>
      <c r="C26" s="240"/>
      <c r="D26" s="256"/>
      <c r="E26" s="241"/>
      <c r="F26" s="241"/>
      <c r="G26" s="242"/>
      <c r="H26" s="241"/>
      <c r="I26" s="257"/>
      <c r="J26" s="243" t="s">
        <v>87</v>
      </c>
      <c r="K26" s="258"/>
      <c r="L26" s="259" t="str">
        <f>UPPER(IF(OR(K26="a",K26="as"),J24,IF(OR(K26="b",K26="bs"),J28,)))</f>
        <v/>
      </c>
      <c r="M26" s="260">
        <f>IF(OR(K26="a",K26="as"),K24,IF(OR(K26="b",K26="bs"),K28,))</f>
        <v>0</v>
      </c>
      <c r="N26" s="229"/>
      <c r="O26" s="269"/>
      <c r="P26" s="229"/>
      <c r="Q26" s="269"/>
      <c r="R26" s="233"/>
      <c r="U26" s="180" t="str">
        <f>IF(OR(K26="a",K26="as"),U24,IF(OR(K26="b",K26="bs"),U28,""))</f>
        <v/>
      </c>
      <c r="V26" s="208">
        <v>20</v>
      </c>
      <c r="W26" s="263" t="str">
        <f>UPPER(IF($D45="","",VLOOKUP($D45,'[4]m glavni turnir žrebna lista'!$A$7:$R$38,3)))</f>
        <v>GLAVIČ BOJAN</v>
      </c>
      <c r="X26" s="263" t="str">
        <f>PROPER(IF($D45="","",VLOOKUP($D45,'[4]m glavni turnir žrebna lista'!$A$7:$R$38,4)))</f>
        <v/>
      </c>
      <c r="Y26" s="249" t="str">
        <f t="shared" si="0"/>
        <v/>
      </c>
      <c r="Z26" s="249" t="str">
        <f>IF(Y26="","",IF(AND($Q$63=1,U45=U44),30,IF(AND($Q$63=2,U45=U44),15,IF(AND($Q$63=3,U45=U44),10,""))))</f>
        <v/>
      </c>
      <c r="AA26" s="249" t="str">
        <f>IF(Z26="","",IF(AND($Q$63=1,U45=U42,U45=U44),60,IF(AND($Q$63=2,U42=U45,U45=U44),30,IF(AND($Q$63=3,U42=U45,U45=U44),20,""))))</f>
        <v/>
      </c>
      <c r="AB26" s="249" t="str">
        <f>IF(AA26="","",IF(AND($Q$63=1,U46=U42,U42=U44,U45=U44),120,IF(AND($Q$63=2,U46=U42,U42=U44,U45=U44),60,IF(AND($Q$63=3,U46=U42,U42=U44,U45=U44),40,""))))</f>
        <v/>
      </c>
      <c r="AC26" s="249" t="str">
        <f>IF(AB26="","",IF(AND($Q$63=1,$U$45=$U$44,$U$44=$U$42,$U$42=$U$46,$U$46=$U$54),120,IF(AND($Q$63=2,$U$45=$U$44,$U$44=$U$42,$U$42=$U$46,$U$46=$U$54),60,IF(AND($Q$63=3,$U$45=$U$44,$U$44=$U$42,$U$42=$U$46,$U$46=$U$54),40,""))))</f>
        <v/>
      </c>
      <c r="AD26" s="249" t="str">
        <f>IF(AC26="","",IF(AND($Q$63=1,$U$45=$U$44,$U$44=$U$42,$U$42=$U$46,$U$46=$U$54,$U$38=$U$54),120,IF(AND($Q$63=2,$U$45=$U$44,$U$44=$U$42,$U$42=$U$46,$U$46=$U$54,$U$38=$U$54),60,IF(AND($Q$63=3,$U$45=$U$44,$U$44=$U$42,$U$42=$U$46,$U$46=$U$54,$U$38=$U$54),40,""))))</f>
        <v/>
      </c>
      <c r="AE26" s="250">
        <f t="shared" si="1"/>
        <v>0</v>
      </c>
      <c r="AF26" s="186"/>
      <c r="AG26" s="238"/>
      <c r="AH26" s="238"/>
      <c r="AI26" s="238"/>
      <c r="AJ26" s="238"/>
    </row>
    <row r="27" spans="1:36" s="234" customFormat="1" ht="9.6" customHeight="1">
      <c r="A27" s="239">
        <v>11</v>
      </c>
      <c r="B27" s="251">
        <f>IF($D27="","",VLOOKUP($D27,'[4]m glavni turnir žrebna lista'!$A$7:$R$38,17))</f>
        <v>0</v>
      </c>
      <c r="C27" s="251">
        <f>IF($D27="","",VLOOKUP($D27,'[4]m glavni turnir žrebna lista'!$A$7:$R$38,2))</f>
        <v>0</v>
      </c>
      <c r="D27" s="225">
        <v>11</v>
      </c>
      <c r="E27" s="252" t="str">
        <f>UPPER(IF($D27="","",VLOOKUP($D27,'[4]m glavni turnir žrebna lista'!$A$7:$R$38,3)))</f>
        <v>BURKELC SREČKO</v>
      </c>
      <c r="F27" s="252" t="str">
        <f>PROPER(IF($D27="","",VLOOKUP($D27,'[4]m glavni turnir žrebna lista'!$A$7:$R$38,4)))</f>
        <v/>
      </c>
      <c r="G27" s="252"/>
      <c r="H27" s="252">
        <f>IF($D27="","",VLOOKUP($D27,'[4]m glavni turnir žrebna lista'!$A$7:$R$38,5))</f>
        <v>0</v>
      </c>
      <c r="I27" s="226">
        <f>IF($D27="","",VLOOKUP($D27,'[4]m glavni turnir žrebna lista'!$A$7:$R$38,14))</f>
        <v>0</v>
      </c>
      <c r="J27" s="227"/>
      <c r="K27" s="264"/>
      <c r="L27" s="254"/>
      <c r="M27" s="265"/>
      <c r="N27" s="229"/>
      <c r="O27" s="269"/>
      <c r="P27" s="229"/>
      <c r="Q27" s="269"/>
      <c r="R27" s="233"/>
      <c r="U27" s="180">
        <f>IF($D27="","",VLOOKUP($D27,'[4]m glavni turnir žrebna lista'!$A$7:$R$38,2))</f>
        <v>0</v>
      </c>
      <c r="V27" s="208">
        <v>21</v>
      </c>
      <c r="W27" s="208" t="str">
        <f>UPPER(IF($D47="","",VLOOKUP($D47,'[4]m glavni turnir žrebna lista'!$A$7:$R$38,3)))</f>
        <v/>
      </c>
      <c r="X27" s="208" t="str">
        <f>PROPER(IF($D47="","",VLOOKUP($D47,'[4]m glavni turnir žrebna lista'!$A$7:$R$38,4)))</f>
        <v/>
      </c>
      <c r="Y27" s="209" t="str">
        <f t="shared" si="0"/>
        <v/>
      </c>
      <c r="Z27" s="209" t="str">
        <f>IF(Y27="","",IF(AND($Q$63=1,U48=U47),30,IF(AND($Q$63=2,U48=U47),15,IF(AND($Q$63=3,U48=U47),10,""))))</f>
        <v/>
      </c>
      <c r="AA27" s="209" t="str">
        <f>IF(Z27="","",IF(AND($Q$63=1,U50=U48,U48=U47),60,IF(AND($Q$63=2,U50=U48,U48=U47),30,IF(AND($Q$63=3,U50=U48,U48=U47),20,""))))</f>
        <v/>
      </c>
      <c r="AB27" s="209" t="str">
        <f>IF(AA27="","",IF(AND($Q$63=1,U46=U50,U50=U48,U48=U47),120,IF(AND($Q$63=2,U46=U50,U50=U48,U48=U47),60,IF(AND($Q$63=3,U46=U50,U50=U48,U48=U47),40,""))))</f>
        <v/>
      </c>
      <c r="AC27" s="209" t="str">
        <f>IF(AB27="","",IF(AND($Q$63=1,$U$47=$U$48,$U$48=$U$50,$U$50=$U$46,$U$46=$U$54),120,IF(AND($Q$63=2,$U$47=$U$48,$U$48=$U$50,$U$50=$U$46,$U$46=$U$54),60,IF(AND($Q$63=3,$U$47=$U$48,$U$48=$U$50,$U$50=$U$46,$U$46=$U$54),40,""))))</f>
        <v/>
      </c>
      <c r="AD27" s="209" t="str">
        <f>IF(AC27="","",IF(AND($Q$63=1,$U$47=$U$48,$U$48=$U$50,$U$50=$U$46,$U$46=$U$54,$U$38=$U$54),120,IF(AND($Q$63=2,$U$47=$U$48,$U$48=$U$50,$U$50=$U$46,$U$46=$U$54,$U$38=$U$54),60,IF(AND($Q$63=3,$U$47=$U$48,$U$48=$U$50,$U$50=$U$46,$U$46=$U$54,$U$38=$U$54),40,""))))</f>
        <v/>
      </c>
      <c r="AE27" s="237">
        <f t="shared" si="1"/>
        <v>0</v>
      </c>
      <c r="AF27" s="186"/>
      <c r="AG27" s="238"/>
      <c r="AH27" s="238"/>
      <c r="AI27" s="238"/>
      <c r="AJ27" s="238"/>
    </row>
    <row r="28" spans="1:36" s="234" customFormat="1" ht="9.6" customHeight="1">
      <c r="A28" s="275"/>
      <c r="B28" s="240"/>
      <c r="C28" s="240"/>
      <c r="D28" s="256"/>
      <c r="E28" s="241"/>
      <c r="F28" s="241"/>
      <c r="G28" s="242"/>
      <c r="H28" s="243" t="s">
        <v>87</v>
      </c>
      <c r="I28" s="244"/>
      <c r="J28" s="259" t="str">
        <f>UPPER(IF(OR(I28="a",I28="as"),E27,IF(OR(I28="b",I28="bs"),E29,)))</f>
        <v/>
      </c>
      <c r="K28" s="266">
        <f>IF(OR(I28="a",I28="as"),I27,IF(OR(I28="b",I28="bs"),I29,))</f>
        <v>0</v>
      </c>
      <c r="L28" s="227"/>
      <c r="M28" s="265"/>
      <c r="N28" s="229"/>
      <c r="O28" s="269"/>
      <c r="P28" s="229"/>
      <c r="Q28" s="269"/>
      <c r="R28" s="233"/>
      <c r="U28" s="180" t="str">
        <f>IF(OR(I28="a",I28="as"),C27,IF(OR(I28="b",I28="bs"),C29,""))</f>
        <v/>
      </c>
      <c r="V28" s="208">
        <v>22</v>
      </c>
      <c r="W28" s="263" t="str">
        <f>UPPER(IF($D49="","",VLOOKUP($D49,'[4]m glavni turnir žrebna lista'!$A$7:$R$38,3)))</f>
        <v>MESEC DEJAN</v>
      </c>
      <c r="X28" s="263" t="str">
        <f>PROPER(IF($D49="","",VLOOKUP($D49,'[4]m glavni turnir žrebna lista'!$A$7:$R$38,4)))</f>
        <v/>
      </c>
      <c r="Y28" s="249" t="str">
        <f t="shared" si="0"/>
        <v/>
      </c>
      <c r="Z28" s="249" t="str">
        <f>IF(Y28="","",IF(AND($Q$63=1,U49=U48),30,IF(AND($Q$63=2,U49=U48),15,IF(AND($Q$63=3,U49=U48),10,""))))</f>
        <v/>
      </c>
      <c r="AA28" s="249" t="str">
        <f>IF(Z28="","",IF(AND($Q$63=1,U50=U49,U49=U48),60,IF(AND($Q$63=2,U50=U49,U49=U48),30,IF(AND($Q$63=3,U50=U49,U49=U48),20,""))))</f>
        <v/>
      </c>
      <c r="AB28" s="249" t="str">
        <f>IF(AA28="","",IF(AND($Q$63=1,U46=U50,U50=U48,U49=U48),120,IF(AND($Q$63=2,U46=U50,U50=U48,U48=U49),60,IF(AND($Q$63=3,U46=U50,U50=U48,U49=U48),40,""))))</f>
        <v/>
      </c>
      <c r="AC28" s="249" t="str">
        <f>IF(AB28="","",IF(AND($Q$63=1,$U$49=$U$48,$U$48=$U$50,$U$50=$U$46,$U$46=$U$54),120,IF(AND($Q$63=2,$U$49=$U$48,$U$48=$U$50,$U$50=$U$46,$U$46=$U$54),60,IF(AND($Q$63=3,$U$49=$U$48,$U$48=$U$50,$U$50=$U$46,$U$46=$U$54),40,""))))</f>
        <v/>
      </c>
      <c r="AD28" s="249" t="str">
        <f>IF(AC28="","",IF(AND($Q$63=1,$U$49=$U$48,$U$48=$U$50,$U$50=$U$46,$U$46=$U$54,$U$38=$U$54),120,IF(AND($Q$63=2,$U$49=$U$48,$U$48=$U$50,$U$50=$U$46,$U$46=$U$54,$U$38=$U$54),60,IF(AND($Q$63=3,$U$49=$U$48,$U$48=$U$50,$U$50=$U$46,$U$46=$U$54,$U$38=$U$54),40,""))))</f>
        <v/>
      </c>
      <c r="AE28" s="250">
        <f t="shared" si="1"/>
        <v>0</v>
      </c>
      <c r="AF28" s="186"/>
      <c r="AG28" s="238"/>
      <c r="AH28" s="238"/>
      <c r="AI28" s="238"/>
      <c r="AJ28" s="238"/>
    </row>
    <row r="29" spans="1:36" s="234" customFormat="1" ht="9.6" customHeight="1">
      <c r="A29" s="239">
        <v>12</v>
      </c>
      <c r="B29" s="251">
        <f>IF($D29="","",VLOOKUP($D29,'[4]m glavni turnir žrebna lista'!$A$7:$R$38,17))</f>
        <v>0</v>
      </c>
      <c r="C29" s="251">
        <f>IF($D29="","",VLOOKUP($D29,'[4]m glavni turnir žrebna lista'!$A$7:$R$38,2))</f>
        <v>0</v>
      </c>
      <c r="D29" s="225">
        <v>13</v>
      </c>
      <c r="E29" s="252" t="str">
        <f>UPPER(IF($D29="","",VLOOKUP($D29,'[4]m glavni turnir žrebna lista'!$A$7:$R$38,3)))</f>
        <v>JURIČIČ ALFREDO</v>
      </c>
      <c r="F29" s="252" t="str">
        <f>PROPER(IF($D29="","",VLOOKUP($D29,'[4]m glavni turnir žrebna lista'!$A$7:$R$38,4)))</f>
        <v/>
      </c>
      <c r="G29" s="252"/>
      <c r="H29" s="252">
        <f>IF($D29="","",VLOOKUP($D29,'[4]m glavni turnir žrebna lista'!$A$7:$R$38,5))</f>
        <v>0</v>
      </c>
      <c r="I29" s="253">
        <f>IF($D29="","",VLOOKUP($D29,'[4]m glavni turnir žrebna lista'!$A$7:$R$38,14))</f>
        <v>0</v>
      </c>
      <c r="J29" s="254"/>
      <c r="K29" s="228">
        <f>IF(OR(I29="a",I29="as"),I28,IF(OR(I29="b",I29="bs"),I30,))</f>
        <v>0</v>
      </c>
      <c r="L29" s="227"/>
      <c r="M29" s="265"/>
      <c r="N29" s="229"/>
      <c r="O29" s="269"/>
      <c r="P29" s="229"/>
      <c r="Q29" s="269"/>
      <c r="R29" s="233"/>
      <c r="U29" s="180">
        <f>IF($D29="","",VLOOKUP($D29,'[4]m glavni turnir žrebna lista'!$A$7:$R$38,2))</f>
        <v>0</v>
      </c>
      <c r="V29" s="208">
        <v>23</v>
      </c>
      <c r="W29" s="208" t="str">
        <f>UPPER(IF($D51="","",VLOOKUP($D51,'[4]m glavni turnir žrebna lista'!$A$7:$R$38,3)))</f>
        <v/>
      </c>
      <c r="X29" s="208" t="str">
        <f>PROPER(IF($D51="","",VLOOKUP($D51,'[4]m glavni turnir žrebna lista'!$A$7:$R$38,4)))</f>
        <v/>
      </c>
      <c r="Y29" s="209" t="str">
        <f t="shared" si="0"/>
        <v/>
      </c>
      <c r="Z29" s="209" t="str">
        <f>IF(Y29="","",IF(AND($Q$63=1,U52=U51),30,IF(AND($Q$63=2,U52=U51),15,IF(AND($Q$63=3,U52=U51),10,""))))</f>
        <v/>
      </c>
      <c r="AA29" s="209" t="str">
        <f>IF(Z29="","",IF(AND($Q$63=1,U51=U50,U50=U52),60,IF(AND($Q$63=2,U51=U50,U50=U52),30,IF(AND($Q$63=3,U51=U50,U50=U52),20,""))))</f>
        <v/>
      </c>
      <c r="AB29" s="209" t="str">
        <f>IF(AA29="","",IF(AND($Q$63=1,U46=U50,U50=U52,U52=U51),120,IF(AND($Q$63=2,U46=U50,U50=U52,U52=U51),60,IF(AND($Q$63=3,U46=U50,U50=U52,U52=U51),40,""))))</f>
        <v/>
      </c>
      <c r="AC29" s="209" t="str">
        <f>IF(AB29="","",IF(AND($Q$63=1,$U$51=$U$52,$U$52=$U$50,$U$50=$U$46,$U$46=$U$54),120,IF(AND($Q$63=2,$U$51=$U$52,$U$52=$U$50,$U$50=$U$46,$U$46=$U$54),60,IF(AND($Q$63=3,$U$51=$U$52,$U$52=$U$50,$U$50=$U$46,$U$46=$U$54),40,""))))</f>
        <v/>
      </c>
      <c r="AD29" s="209" t="str">
        <f>IF(AC29="","",IF(AND($Q$63=1,$U$51=$U$52,$U$52=$U$50,$U$50=$U$46,$U$46=$U$54,$U$38=$U$54),120,IF(AND($Q$63=2,$U$51=$U$52,$U$52=$U$50,$U$50=$U$46,$U$46=$U$54,$U$38=$U$54),60,IF(AND($Q$63=3,$U$51=$U$52,$U$52=$U$50,$U$50=$U$46,$U$46=$U$54,$U$38=$U$54),40,""))))</f>
        <v/>
      </c>
      <c r="AE29" s="237">
        <f t="shared" si="1"/>
        <v>0</v>
      </c>
      <c r="AF29" s="186"/>
      <c r="AG29" s="238"/>
      <c r="AH29" s="238"/>
      <c r="AI29" s="238"/>
      <c r="AJ29" s="238"/>
    </row>
    <row r="30" spans="1:36" s="234" customFormat="1" ht="9.6" customHeight="1">
      <c r="A30" s="239"/>
      <c r="B30" s="240"/>
      <c r="C30" s="240"/>
      <c r="D30" s="256"/>
      <c r="E30" s="227"/>
      <c r="F30" s="227"/>
      <c r="G30" s="267"/>
      <c r="H30" s="268"/>
      <c r="I30" s="257"/>
      <c r="J30" s="227"/>
      <c r="K30" s="228"/>
      <c r="L30" s="243" t="s">
        <v>87</v>
      </c>
      <c r="M30" s="258"/>
      <c r="N30" s="259" t="str">
        <f>UPPER(IF(OR(M30="a",M30="as"),L26,IF(OR(M30="b",M30="bs"),L34,)))</f>
        <v/>
      </c>
      <c r="O30" s="276">
        <f>IF(OR(M30="a",M30="as"),M26,IF(OR(M30="b",M30="bs"),M34,))</f>
        <v>0</v>
      </c>
      <c r="P30" s="229"/>
      <c r="Q30" s="269"/>
      <c r="R30" s="233"/>
      <c r="U30" s="180" t="str">
        <f>IF(OR(M30="a",M30="as"),U26,IF(OR(M30="b",M30="bs"),U34,""))</f>
        <v/>
      </c>
      <c r="V30" s="208">
        <v>24</v>
      </c>
      <c r="W30" s="263" t="str">
        <f>UPPER(IF($D53="","",VLOOKUP($D53,'[4]m glavni turnir žrebna lista'!$A$7:$R$38,3)))</f>
        <v>KUNAVAR MILOŠ</v>
      </c>
      <c r="X30" s="263" t="str">
        <f>PROPER(IF($D53="","",VLOOKUP($D53,'[4]m glavni turnir žrebna lista'!$A$7:$R$38,4)))</f>
        <v>4</v>
      </c>
      <c r="Y30" s="249" t="str">
        <f t="shared" si="0"/>
        <v/>
      </c>
      <c r="Z30" s="249" t="str">
        <f>IF(Y30="","",IF(AND($Q$63=1,U53=U52),30,IF(AND($Q$63=2,U53=U52),15,IF(AND($Q$63=3,U53=U52),10,""))))</f>
        <v/>
      </c>
      <c r="AA30" s="249" t="str">
        <f>IF(Z30="","",IF(AND($Q$63=1,U52=U50,U52=U53),60,IF(AND($Q$63=2,U52=U50,U52=U53),30,IF(AND($Q$63=3,U52=U50,U52=U53),20,""))))</f>
        <v/>
      </c>
      <c r="AB30" s="249" t="str">
        <f>IF(AA30="","",IF(AND($Q$63=1,U46=U50,U50=U52,U53=U52),120,IF(AND($Q$63=2,U46=U50,U50=U52,U53=U52),60,IF(AND($Q$63=3,U46=U50,U50=U52,U53=U52),40,""))))</f>
        <v/>
      </c>
      <c r="AC30" s="249" t="str">
        <f>IF(AB30="","",IF(AND($Q$63=1,$U$53=$U$52,$U$52=$U$50,$U$50=$U$46,$U$46=$U$54),120,IF(AND($Q$63=2,$U$53=$U$52,$U$52=$U$50,$U$50=$U$46,$U$46=$U$54),60,IF(AND($Q$63=3,$U$53=$U$52,$U$52=$U$50,$U$50=$U$46,$U$46=$U$54),40,""))))</f>
        <v/>
      </c>
      <c r="AD30" s="249" t="str">
        <f>IF(AC30="","",IF(AND($Q$63=1,$U$53=$U$52,$U$52=$U$50,$U$50=$U$46,$U$46=$U$54,$U$38=$U$54),120,IF(AND($Q$63=2,$U$53=$U$52,$U$52=$U$50,$U$50=$U$46,$U$46=$U$54,$U$38=$U$54),60,IF(AND($Q$63=3,$U$53=$U$52,$U$52=$U$50,$U$50=$U$46,$U$46=$U$54,$U$38=$U$54),40,""))))</f>
        <v/>
      </c>
      <c r="AE30" s="250">
        <f t="shared" si="1"/>
        <v>0</v>
      </c>
      <c r="AF30" s="186"/>
      <c r="AG30" s="238"/>
      <c r="AH30" s="238"/>
      <c r="AI30" s="238"/>
      <c r="AJ30" s="238"/>
    </row>
    <row r="31" spans="1:36" s="234" customFormat="1" ht="9.6" customHeight="1">
      <c r="A31" s="239">
        <v>13</v>
      </c>
      <c r="B31" s="251" t="str">
        <f>IF($D31="","",VLOOKUP($D31,'[4]m glavni turnir žrebna lista'!$A$7:$R$38,17))</f>
        <v/>
      </c>
      <c r="C31" s="251" t="str">
        <f>IF($D31="","",VLOOKUP($D31,'[4]m glavni turnir žrebna lista'!$A$7:$R$38,2))</f>
        <v/>
      </c>
      <c r="D31" s="225"/>
      <c r="E31" s="252" t="s">
        <v>3</v>
      </c>
      <c r="F31" s="252" t="str">
        <f>PROPER(IF($D31="","",VLOOKUP($D31,'[4]m glavni turnir žrebna lista'!$A$7:$R$38,4)))</f>
        <v/>
      </c>
      <c r="G31" s="252"/>
      <c r="H31" s="252" t="str">
        <f>IF($D31="","",VLOOKUP($D31,'[4]m glavni turnir žrebna lista'!$A$7:$R$38,5))</f>
        <v/>
      </c>
      <c r="I31" s="226" t="str">
        <f>IF($D31="","",VLOOKUP($D31,'[4]m glavni turnir žrebna lista'!$A$7:$R$38,14))</f>
        <v/>
      </c>
      <c r="J31" s="227"/>
      <c r="K31" s="228"/>
      <c r="L31" s="227"/>
      <c r="M31" s="265"/>
      <c r="N31" s="254"/>
      <c r="O31" s="230"/>
      <c r="P31" s="229"/>
      <c r="Q31" s="269"/>
      <c r="R31" s="233"/>
      <c r="U31" s="180" t="str">
        <f>IF($D31="","",VLOOKUP($D31,'[4]m glavni turnir žrebna lista'!$A$7:$R$38,2))</f>
        <v/>
      </c>
      <c r="V31" s="208">
        <v>25</v>
      </c>
      <c r="W31" s="208" t="str">
        <f>UPPER(IF($D55="","",VLOOKUP($D55,'[4]m glavni turnir žrebna lista'!$A$7:$R$38,3)))</f>
        <v>STEFANOVIČ MIRAN</v>
      </c>
      <c r="X31" s="208" t="str">
        <f>PROPER(IF($D55="","",VLOOKUP($D55,'[4]m glavni turnir žrebna lista'!$A$7:$R$38,4)))</f>
        <v>5</v>
      </c>
      <c r="Y31" s="209" t="str">
        <f t="shared" si="0"/>
        <v/>
      </c>
      <c r="Z31" s="209" t="str">
        <f>IF(Y31="","",IF(AND($Q$63=1,U56=U55),30,IF(AND($Q$63=2,U56=U55),15,IF(AND($Q$63=3,U56=U55),10,""))))</f>
        <v/>
      </c>
      <c r="AA31" s="209" t="str">
        <f>IF(Z31="","",IF(AND($Q$63=1,U55=U56,U56=U58),60,IF(AND($Q$63=2,U55=U56,U56=U58),30,IF(AND($Q$63=3,U55=U56,U56=U58),20,""))))</f>
        <v/>
      </c>
      <c r="AB31" s="209" t="str">
        <f>IF(AA31="","",IF(AND($Q$63=1,U62=U58,U58=U56,U56=U55),120,IF(AND($Q$63=2,U62=U58,U58=U56,U56=U55),60,IF(AND($Q$63=3,U62=U58,U58=U56,U56=U55),40,""))))</f>
        <v/>
      </c>
      <c r="AC31" s="209" t="str">
        <f>IF(AB31="","",IF(AND($Q$63=1,$U$55=$U$56,$U$56=$U$58,$U$58=$U$62,$U$62=$U$54),120,IF(AND($Q$63=2,$U$55=$U$56,$U$56=$U$58,$U$58=$U$62,$U$62=$U$54),60,IF(AND($Q$63=3,$U$55=$U$56,$U$56=$U$58,$U$58=$U$62,$U$62=$U$54),40,""))))</f>
        <v/>
      </c>
      <c r="AD31" s="209" t="str">
        <f>IF(AC31="","",IF(AND($Q$63=1,$U$55=$U$56,$U$56=$U$58,$U$58=$U$62,$U$62=$U$54,$U$38=$U$54),120,IF(AND($Q$63=2,$U$55=$U$56,$U$56=$U$58,$U$58=$U$62,$U$62=$U$54,$U$38=$U$54),60,IF(AND($Q$63=3,$U$55=$U$56,$U$56=$U$58,$U$58=$U$62,$U$62=$U$54,$U$38=$U$54),40,""))))</f>
        <v/>
      </c>
      <c r="AE31" s="237">
        <f t="shared" si="1"/>
        <v>0</v>
      </c>
      <c r="AF31" s="186"/>
      <c r="AG31" s="238"/>
      <c r="AH31" s="238"/>
      <c r="AI31" s="238"/>
      <c r="AJ31" s="238"/>
    </row>
    <row r="32" spans="1:36" s="234" customFormat="1" ht="9.6" customHeight="1">
      <c r="A32" s="239"/>
      <c r="B32" s="240"/>
      <c r="C32" s="240"/>
      <c r="D32" s="256"/>
      <c r="E32" s="241"/>
      <c r="F32" s="241"/>
      <c r="G32" s="242"/>
      <c r="H32" s="243" t="s">
        <v>87</v>
      </c>
      <c r="I32" s="244" t="s">
        <v>89</v>
      </c>
      <c r="J32" s="259" t="str">
        <f>UPPER(IF(OR(I32="a",I32="as"),E31,IF(OR(I32="b",I32="bs"),E33,)))</f>
        <v>ZOBEC TOMI</v>
      </c>
      <c r="K32" s="246" t="str">
        <f>IF(OR(I32="a",I32="as"),I31,IF(OR(I32="b",I32="bs"),I33,))</f>
        <v>B</v>
      </c>
      <c r="L32" s="227"/>
      <c r="M32" s="265"/>
      <c r="N32" s="229"/>
      <c r="O32" s="230"/>
      <c r="P32" s="229"/>
      <c r="Q32" s="269"/>
      <c r="R32" s="233"/>
      <c r="U32" s="180">
        <f>IF(OR(I32="a",I32="as"),C31,IF(OR(I32="b",I32="bs"),C33,""))</f>
        <v>0</v>
      </c>
      <c r="V32" s="208">
        <v>26</v>
      </c>
      <c r="W32" s="263" t="str">
        <f>UPPER(IF($D57="","",VLOOKUP($D57,'[4]m glavni turnir žrebna lista'!$A$7:$R$38,3)))</f>
        <v/>
      </c>
      <c r="X32" s="263" t="str">
        <f>PROPER(IF($D57="","",VLOOKUP($D57,'[4]m glavni turnir žrebna lista'!$A$7:$R$38,4)))</f>
        <v/>
      </c>
      <c r="Y32" s="249" t="str">
        <f t="shared" si="0"/>
        <v/>
      </c>
      <c r="Z32" s="249" t="str">
        <f>IF(Y32="","",IF(AND($Q$63=1,U57=U56),30,IF(AND($Q$63=2,U57=U56),15,IF(AND($Q$63=3,U57=U56),10,""))))</f>
        <v/>
      </c>
      <c r="AA32" s="249" t="str">
        <f>IF(Z32="","",IF(AND($Q$63=1,U56=U57,U57=U58),60,IF(AND($Q$63=2,U56=U57,U57=U58),30,IF(AND($Q$63=3,U56=U57,U57=U58),20,""))))</f>
        <v/>
      </c>
      <c r="AB32" s="249" t="str">
        <f>IF(AA32="","",IF(AND($Q$63=1,U62=U58,U58=U56,U56=U57),120,IF(AND($Q$63=2,U62=U58,U58=U56,U56=U57),60,IF(AND($Q$63=3,U62=U58,U58=U56,U56=U57),40,""))))</f>
        <v/>
      </c>
      <c r="AC32" s="249" t="str">
        <f>IF(AB32="","",IF(AND($Q$63=1,$U$57=$U$56,$U$56=$U$58,$U$58=$U$62,$U$62=$U$54),120,IF(AND($Q$63=2,$U$57=$U$56,$U$56=$U$58,$U$58=$U$62,$U$62=$U$54),60,IF(AND($Q$63=3,$U$57=$U$56,$U$56=$U$58,$U$58=$U$62,$U$62=$U$54),40,""))))</f>
        <v/>
      </c>
      <c r="AD32" s="249" t="str">
        <f>IF(AC32="","",IF(AND($Q$63=1,$U$57=$U$56,$U$56=$U$58,$U$58=$U$62,$U$62=$U$54,$U$38=$U$54),120,IF(AND($Q$63=2,$U$57=$U$56,$U$56=$U$58,$U$58=$U$62,$U$62=$U$54,$U$38=$U$54),60,IF(AND($Q$63=3,$U$57=$U$56,$U$56=$U$58,$U$58=$U$62,$U$62=$U$54,$U$38=$U$54),40,""))))</f>
        <v/>
      </c>
      <c r="AE32" s="250">
        <f t="shared" si="1"/>
        <v>0</v>
      </c>
      <c r="AF32" s="186"/>
      <c r="AG32" s="238"/>
      <c r="AH32" s="238"/>
      <c r="AI32" s="238"/>
      <c r="AJ32" s="238"/>
    </row>
    <row r="33" spans="1:36" s="234" customFormat="1" ht="9.6" customHeight="1">
      <c r="A33" s="239">
        <v>14</v>
      </c>
      <c r="B33" s="251">
        <f>IF($D33="","",VLOOKUP($D33,'[4]m glavni turnir žrebna lista'!$A$7:$R$38,17))</f>
        <v>0</v>
      </c>
      <c r="C33" s="251">
        <f>IF($D33="","",VLOOKUP($D33,'[4]m glavni turnir žrebna lista'!$A$7:$R$38,2))</f>
        <v>0</v>
      </c>
      <c r="D33" s="225">
        <v>19</v>
      </c>
      <c r="E33" s="252" t="str">
        <f>UPPER(IF($D33="","",VLOOKUP($D33,'[4]m glavni turnir žrebna lista'!$A$7:$R$38,3)))</f>
        <v>ZOBEC TOMI</v>
      </c>
      <c r="F33" s="252" t="str">
        <f>PROPER(IF($D33="","",VLOOKUP($D33,'[4]m glavni turnir žrebna lista'!$A$7:$R$38,4)))</f>
        <v/>
      </c>
      <c r="G33" s="252"/>
      <c r="H33" s="252">
        <f>IF($D33="","",VLOOKUP($D33,'[4]m glavni turnir žrebna lista'!$A$7:$R$38,5))</f>
        <v>0</v>
      </c>
      <c r="I33" s="253" t="s">
        <v>89</v>
      </c>
      <c r="J33" s="254"/>
      <c r="K33" s="255"/>
      <c r="L33" s="227"/>
      <c r="M33" s="265"/>
      <c r="N33" s="229"/>
      <c r="O33" s="230"/>
      <c r="P33" s="229"/>
      <c r="Q33" s="269"/>
      <c r="R33" s="233"/>
      <c r="U33" s="180">
        <f>IF($D33="","",VLOOKUP($D33,'[4]m glavni turnir žrebna lista'!$A$7:$R$38,2))</f>
        <v>0</v>
      </c>
      <c r="V33" s="208">
        <v>27</v>
      </c>
      <c r="W33" s="208" t="str">
        <f>UPPER(IF($D59="","",VLOOKUP($D59,'[4]m glavni turnir žrebna lista'!$A$7:$R$38,3)))</f>
        <v>KRUMPAK MILAN</v>
      </c>
      <c r="X33" s="208" t="str">
        <f>PROPER(IF($D59="","",VLOOKUP($D59,'[4]m glavni turnir žrebna lista'!$A$7:$R$38,4)))</f>
        <v/>
      </c>
      <c r="Y33" s="209" t="str">
        <f t="shared" si="0"/>
        <v/>
      </c>
      <c r="Z33" s="209" t="str">
        <f>IF(Y33="","",IF(AND($Q$63=1,U60=U59),30,IF(AND($Q$63=2,U60=U59),15,IF(AND($Q$63=3,U60=U59),10,""))))</f>
        <v/>
      </c>
      <c r="AA33" s="209" t="str">
        <f>IF(Z33="","",IF(AND($Q$63=1,U60=U58,U58=U59),60,IF(AND($Q$63=2,U60=U58,U58=U59),30,IF(AND($Q$63=3,U60=U58,U58=U59),20,""))))</f>
        <v/>
      </c>
      <c r="AB33" s="209" t="str">
        <f>IF(AA33="","",IF(AND($Q$63=1,U62=U58,U58=U60,U60=U59),120,IF(AND($Q$63=2,U62=U58,U58=U60,U60=U59),60,IF(AND($Q$63=3,U62=U58,U58=U60,U60=U59),40,""))))</f>
        <v/>
      </c>
      <c r="AC33" s="209" t="str">
        <f>IF(AB33="","",IF(AND($Q$63=1,$U$59=$U$60,$U$60=$U$58,$U$58=$U$62,$U$62=$U$54),120,IF(AND($Q$63=2,$U$59=$U$60,$U$60=$U$58,$U$58=$U$62,$U$62=$U$54),60,IF(AND($Q$63=3,$U$59=$U$60,$U$60=$U$58,$U$58=$U$62,$U$62=$U$54),40,""))))</f>
        <v/>
      </c>
      <c r="AD33" s="209" t="str">
        <f>IF(AC33="","",IF(AND($Q$63=1,$U$59=$U$60,$U$60=$U$58,$U$58=$U$62,$U$62=$U$54,$U$38=$U$54),120,IF(AND($Q$63=2,$U$59=$U$60,$U$60=$U$58,$U$58=$U$62,$U$62=$U$54,$U$38=$U$54),60,IF(AND($Q$63=3,$U$59=$U$60,$U$60=$U$58,$U$58=$U$62,$U$62=$U$54,$U$38=$U$54),40,""))))</f>
        <v/>
      </c>
      <c r="AE33" s="237">
        <f t="shared" si="1"/>
        <v>0</v>
      </c>
      <c r="AF33" s="186"/>
      <c r="AG33" s="238"/>
      <c r="AH33" s="238"/>
      <c r="AI33" s="238"/>
      <c r="AJ33" s="238"/>
    </row>
    <row r="34" spans="1:36" s="234" customFormat="1" ht="9.6" customHeight="1">
      <c r="A34" s="239"/>
      <c r="B34" s="240"/>
      <c r="C34" s="240"/>
      <c r="D34" s="256"/>
      <c r="E34" s="241"/>
      <c r="F34" s="241"/>
      <c r="G34" s="242"/>
      <c r="H34" s="227"/>
      <c r="I34" s="257"/>
      <c r="J34" s="243" t="s">
        <v>87</v>
      </c>
      <c r="K34" s="258"/>
      <c r="L34" s="259" t="str">
        <f>UPPER(IF(OR(K34="a",K34="as"),J32,IF(OR(K34="b",K34="bs"),J36,)))</f>
        <v/>
      </c>
      <c r="M34" s="271">
        <f>IF(OR(K34="a",K34="as"),K32,IF(OR(K34="b",K34="bs"),K36,))</f>
        <v>0</v>
      </c>
      <c r="N34" s="229"/>
      <c r="O34" s="230"/>
      <c r="P34" s="229"/>
      <c r="Q34" s="269"/>
      <c r="R34" s="233"/>
      <c r="U34" s="180" t="str">
        <f>IF(OR(K34="a",K34="as"),U32,IF(OR(K34="b",K34="bs"),U36,""))</f>
        <v/>
      </c>
      <c r="V34" s="208">
        <v>28</v>
      </c>
      <c r="W34" s="263" t="str">
        <f>UPPER(IF($D61="","",VLOOKUP($D61,'[4]m glavni turnir žrebna lista'!$A$7:$R$38,3)))</f>
        <v/>
      </c>
      <c r="X34" s="263" t="str">
        <f>PROPER(IF($D61="","",VLOOKUP($D61,'[4]m glavni turnir žrebna lista'!$A$7:$R$38,4)))</f>
        <v/>
      </c>
      <c r="Y34" s="249" t="str">
        <f t="shared" si="0"/>
        <v/>
      </c>
      <c r="Z34" s="249" t="str">
        <f>IF(Y34="","",IF(AND($Q$63=1,U61=U60),30,IF(AND($Q$63=2,U61=U60),15,IF(AND($Q$63=3,U61=U60),10,""))))</f>
        <v/>
      </c>
      <c r="AA34" s="249" t="str">
        <f>IF(Z34="","",IF(AND($Q$63=1,U61=U58,U58=U60),60,IF(AND($Q$63=2,U61=U58,U58=U60),30,IF(AND($Q$63=3,U61=U58,U58=U60),20,""))))</f>
        <v/>
      </c>
      <c r="AB34" s="249" t="str">
        <f>IF(AA34="","",IF(AND($Q$63=1,U62=U58,U58=U60,U60=U61),120,IF(AND($Q$63=2,U62=U58,U58=U60,U60=U61),60,IF(AND($Q$63=3,U62=U58,U58=U60,U60=U61),40,""))))</f>
        <v/>
      </c>
      <c r="AC34" s="249" t="str">
        <f>IF(AB34="","",IF(AND($Q$63=1,$U$61=$U$60,$U$60=$U$58,$U$58=$U$62,$U$62=$U$54),120,IF(AND($Q$63=2,$U$61=$U$60,$U$60=$U$58,$U$58=$U$62,$U$62=$U$54),60,IF(AND($Q$63=3,$U$61=$U$60,$U$60=$U$58,$U$58=$U$62,$U$62=$U$54),40,""))))</f>
        <v/>
      </c>
      <c r="AD34" s="249" t="str">
        <f>IF(AC34="","",IF(AND($Q$63=1,$U$61=$U$60,$U$60=$U$58,$U$58=$U$62,$U$62=$U$54,$U$38=$U$54),120,IF(AND($Q$63=2,$U$61=$U$60,$U$60=$U$58,$U$58=$U$62,$U$62=$U$54,$U$38=$U$54),60,IF(AND($Q$63=3,$U$61=$U$60,$U$60=$U$58,$U$58=$U$62,$U$62=$U$54,$U$38=$U$54),40,""))))</f>
        <v/>
      </c>
      <c r="AE34" s="250">
        <f t="shared" si="1"/>
        <v>0</v>
      </c>
      <c r="AF34" s="186"/>
      <c r="AG34" s="238"/>
      <c r="AH34" s="238"/>
      <c r="AI34" s="238"/>
      <c r="AJ34" s="238"/>
    </row>
    <row r="35" spans="1:36" s="234" customFormat="1" ht="9.6" customHeight="1">
      <c r="A35" s="239">
        <v>15</v>
      </c>
      <c r="B35" s="251" t="str">
        <f>IF($D35="","",VLOOKUP($D35,'[4]m glavni turnir žrebna lista'!$A$7:$R$38,17))</f>
        <v/>
      </c>
      <c r="C35" s="251" t="str">
        <f>IF($D35="","",VLOOKUP($D35,'[4]m glavni turnir žrebna lista'!$A$7:$R$38,2))</f>
        <v/>
      </c>
      <c r="D35" s="225"/>
      <c r="E35" s="252" t="s">
        <v>3</v>
      </c>
      <c r="F35" s="252" t="str">
        <f>PROPER(IF($D35="","",VLOOKUP($D35,'[4]m glavni turnir žrebna lista'!$A$7:$R$38,4)))</f>
        <v/>
      </c>
      <c r="G35" s="252"/>
      <c r="H35" s="252" t="str">
        <f>IF($D35="","",VLOOKUP($D35,'[4]m glavni turnir žrebna lista'!$A$7:$R$38,5))</f>
        <v/>
      </c>
      <c r="I35" s="226" t="str">
        <f>IF($D35="","",VLOOKUP($D35,'[4]m glavni turnir žrebna lista'!$A$7:$R$38,14))</f>
        <v/>
      </c>
      <c r="J35" s="227"/>
      <c r="K35" s="264"/>
      <c r="L35" s="254"/>
      <c r="M35" s="262"/>
      <c r="N35" s="229"/>
      <c r="O35" s="230"/>
      <c r="P35" s="229"/>
      <c r="Q35" s="269"/>
      <c r="R35" s="233"/>
      <c r="U35" s="180" t="str">
        <f>IF($D35="","",VLOOKUP($D35,'[4]m glavni turnir žrebna lista'!$A$7:$R$38,2))</f>
        <v/>
      </c>
      <c r="V35" s="208">
        <v>29</v>
      </c>
      <c r="W35" s="208" t="str">
        <f>UPPER(IF($D63="","",VLOOKUP($D63,'[4]m glavni turnir žrebna lista'!$A$7:$R$38,3)))</f>
        <v>MESTEK LAN</v>
      </c>
      <c r="X35" s="208" t="str">
        <f>PROPER(IF($D63="","",VLOOKUP($D63,'[4]m glavni turnir žrebna lista'!$A$7:$R$38,4)))</f>
        <v/>
      </c>
      <c r="Y35" s="209" t="str">
        <f t="shared" si="0"/>
        <v/>
      </c>
      <c r="Z35" s="209" t="str">
        <f>IF(Y35="","",IF(AND($Q$63=1,U64=U63),30,IF(AND($Q$63=2,U64=U63),15,IF(AND($Q$63=3,U64=U63),10,""))))</f>
        <v/>
      </c>
      <c r="AA35" s="209" t="str">
        <f>IF(Z35="","",IF(AND($Q$63=1,U63=U64,U64=U66),60,IF(AND($Q$63=2,U63=U64,U64=U66),30,IF(AND($Q$63=3,U63=U64,U64=U66),20,""))))</f>
        <v/>
      </c>
      <c r="AB35" s="209" t="str">
        <f>IF(AA35="","",IF(AND($Q$63=1,U62=U66,U66=U64,U64=U63),120,IF(AND($Q$63=2,U62=U66,U66=U64,U64=U63),60,IF(AND($Q$63=3,U62=U66,U66=U64,U64=U63),40,""))))</f>
        <v/>
      </c>
      <c r="AC35" s="209" t="str">
        <f>IF(AB35="","",IF(AND($Q$63=1,$U$63=$U$64,$U$64=$U$66,$U$66=$U$62,$U$62=$U$54),120,IF(AND($Q$63=2,$U$63=$U$64,$U$64=$U$66,$U$66=$U$62,$U$62=$U$54),60,IF(AND($Q$63=3,$U$63=$U$64,$U$64=$U$66,$U$66=$U$62,$U$62=$U$54),40,""))))</f>
        <v/>
      </c>
      <c r="AD35" s="209" t="str">
        <f>IF(AC35="","",IF(AND($Q$63=1,$U$63=$U$64,$U$64=$U$66,$U$66=$U$62,$U$62=$U$54,$U$38=$U$54),120,IF(AND($Q$63=2,$U$63=$U$64,$U$64=$U$66,$U$66=$U$62,$U$62=$U$54,$U$38=$U$54),60,IF(AND($Q$63=3,$U$63=$U$64,$U$64=$U$66,$U$66=$U$62,$U$62=$U$54,$U$38=$U$54),40,""))))</f>
        <v/>
      </c>
      <c r="AE35" s="237">
        <f t="shared" si="1"/>
        <v>0</v>
      </c>
      <c r="AF35" s="186"/>
      <c r="AG35" s="238"/>
      <c r="AH35" s="238"/>
      <c r="AI35" s="238"/>
      <c r="AJ35" s="238"/>
    </row>
    <row r="36" spans="1:36" s="234" customFormat="1" ht="9.6" customHeight="1">
      <c r="A36" s="239"/>
      <c r="B36" s="240"/>
      <c r="C36" s="240"/>
      <c r="D36" s="240"/>
      <c r="E36" s="241"/>
      <c r="F36" s="241"/>
      <c r="G36" s="242"/>
      <c r="H36" s="243" t="s">
        <v>87</v>
      </c>
      <c r="I36" s="244" t="s">
        <v>134</v>
      </c>
      <c r="J36" s="259" t="str">
        <f>UPPER(IF(OR(I36="a",I36="as"),E35,IF(OR(I36="b",I36="bs"),E37,)))</f>
        <v>FRECE MATJAŽ</v>
      </c>
      <c r="K36" s="266">
        <f>IF(OR(I36="a",I36="as"),I35,IF(OR(I36="b",I36="bs"),I37,))</f>
        <v>0</v>
      </c>
      <c r="L36" s="227"/>
      <c r="M36" s="262"/>
      <c r="N36" s="229"/>
      <c r="O36" s="230"/>
      <c r="P36" s="229"/>
      <c r="Q36" s="269"/>
      <c r="R36" s="233"/>
      <c r="U36" s="180">
        <f>IF(OR(I36="a",I36="as"),C35,IF(OR(I36="b",I36="bs"),C37,""))</f>
        <v>0</v>
      </c>
      <c r="V36" s="208">
        <v>30</v>
      </c>
      <c r="W36" s="263" t="str">
        <f>UPPER(IF($D65="","",VLOOKUP($D65,'[4]m glavni turnir žrebna lista'!$A$7:$R$38,3)))</f>
        <v/>
      </c>
      <c r="X36" s="263" t="str">
        <f>PROPER(IF($D65="","",VLOOKUP($D65,'[4]m glavni turnir žrebna lista'!$A$7:$R$38,4)))</f>
        <v/>
      </c>
      <c r="Y36" s="249" t="str">
        <f t="shared" si="0"/>
        <v/>
      </c>
      <c r="Z36" s="249" t="str">
        <f>IF(Y36="","",IF(AND($Q$63=1,U65=U64),30,IF(AND($Q$63=2,U65=U64),15,IF(AND($Q$63=3,U65=U64),10,""))))</f>
        <v/>
      </c>
      <c r="AA36" s="249" t="str">
        <f>IF(Z36="","",IF(AND($Q$63=1,U64=U65,U65=U66),60,IF(AND($Q$63=2,U64=U65,U65=U66),30,IF(AND($Q$63=3,U64=U65,U65=U66),20,""))))</f>
        <v/>
      </c>
      <c r="AB36" s="249" t="str">
        <f>IF(AA36="","",IF(AND($Q$63=1,U62=U66,U66=U64,U64=U65),120,IF(AND($Q$63=2,U62=U66,U66=U64,U64=U65),60,IF(AND($Q$63=3,U62=U66,U66=U64,U64=U65),40,""))))</f>
        <v/>
      </c>
      <c r="AC36" s="249" t="str">
        <f>IF(AB36="","",IF(AND($Q$63=1,$U$65=$U$64,$U$64=$U$66,$U$66=$U$62,$U$62=$U$54),120,IF(AND($Q$63=2,$U$65=$U$64,$U$64=$U$66,$U$66=$U$62,$U$62=$U$54),60,IF(AND($Q$63=3,$U$65=$U$64,$U$64=$U$66,$U$66=$U$62,$U$62=$U$54),40,""))))</f>
        <v/>
      </c>
      <c r="AD36" s="249" t="str">
        <f>IF(AC36="","",IF(AND($Q$63=1,$U$65=$U$64,$U$64=$U$66,$U$66=$U$62,$U$62=$U$54,$U$38=$U$54),120,IF(AND($Q$63=2,$U$65=$U$64,$U$64=$U$66,$U$66=$U$62,$U$62=$U$54,$U$38=$U$54),60,IF(AND($Q$63=3,$U$65=$U$64,$U$64=$U$66,$U$66=$U$62,$U$62=$U$54,$U$38=$U$54),40,""))))</f>
        <v/>
      </c>
      <c r="AE36" s="250">
        <f t="shared" si="1"/>
        <v>0</v>
      </c>
      <c r="AF36" s="186"/>
      <c r="AG36" s="238"/>
      <c r="AH36" s="238"/>
      <c r="AI36" s="238"/>
      <c r="AJ36" s="238"/>
    </row>
    <row r="37" spans="1:36" s="234" customFormat="1" ht="9.6" customHeight="1">
      <c r="A37" s="223">
        <v>16</v>
      </c>
      <c r="B37" s="224">
        <f>IF($D37="","",VLOOKUP($D37,'[4]m glavni turnir žrebna lista'!$A$7:$R$38,17))</f>
        <v>0</v>
      </c>
      <c r="C37" s="224">
        <f>IF($D37="","",VLOOKUP($D37,'[4]m glavni turnir žrebna lista'!$A$7:$R$38,2))</f>
        <v>0</v>
      </c>
      <c r="D37" s="225">
        <v>6</v>
      </c>
      <c r="E37" s="224" t="str">
        <f>UPPER(IF($D37="","",VLOOKUP($D37,'[4]m glavni turnir žrebna lista'!$A$7:$R$38,3)))</f>
        <v>FRECE MATJAŽ</v>
      </c>
      <c r="F37" s="224" t="str">
        <f>PROPER(IF($D37="","",VLOOKUP($D37,'[4]m glavni turnir žrebna lista'!$A$7:$R$38,4)))</f>
        <v>6</v>
      </c>
      <c r="G37" s="224"/>
      <c r="H37" s="224">
        <f>IF($D37="","",VLOOKUP($D37,'[4]m glavni turnir žrebna lista'!$A$7:$R$38,5))</f>
        <v>0</v>
      </c>
      <c r="I37" s="253">
        <f>IF($D37="","",VLOOKUP($D37,'[4]m glavni turnir žrebna lista'!$A$7:$R$38,14))</f>
        <v>0</v>
      </c>
      <c r="J37" s="254"/>
      <c r="K37" s="228"/>
      <c r="L37" s="227"/>
      <c r="M37" s="262"/>
      <c r="N37" s="230"/>
      <c r="O37" s="230"/>
      <c r="P37" s="229"/>
      <c r="Q37" s="269"/>
      <c r="R37" s="233"/>
      <c r="U37" s="180">
        <f>IF($D37="","",VLOOKUP($D37,'[4]m glavni turnir žrebna lista'!$A$7:$R$38,2))</f>
        <v>0</v>
      </c>
      <c r="V37" s="208">
        <v>31</v>
      </c>
      <c r="W37" s="208" t="str">
        <f>UPPER(IF($D67="","",VLOOKUP($D67,'[4]m glavni turnir žrebna lista'!$A$7:$R$38,3)))</f>
        <v/>
      </c>
      <c r="X37" s="208" t="str">
        <f>PROPER(IF($D67="","",VLOOKUP($D67,'[4]m glavni turnir žrebna lista'!$A$7:$R$38,4)))</f>
        <v/>
      </c>
      <c r="Y37" s="209" t="str">
        <f t="shared" si="0"/>
        <v/>
      </c>
      <c r="Z37" s="209" t="str">
        <f>IF(Y37="","",IF(AND($Q$63=1,U68=U67),30,IF(AND($Q$63=2,U68=U67),15,IF(AND($Q$63=3,U68=U67),10,""))))</f>
        <v/>
      </c>
      <c r="AA37" s="209" t="str">
        <f>IF(Z37="","",IF(AND($Q$63=1,U68=U66,U66=U67),60,IF(AND($Q$63=2,U68=U66,U66=U67),30,IF(AND($Q$63=3,U68=U66,U66=U67),20,""))))</f>
        <v/>
      </c>
      <c r="AB37" s="209" t="str">
        <f>IF(AA37="","",IF(AND($Q$63=1,U62=U66,U66=U68,U68=U67),120,IF(AND($Q$63=2,U62=U66,U66=U68,U68=U67),60,IF(AND($Q$63=3,U62=U66,U66=U68,U68=U67),40,""))))</f>
        <v/>
      </c>
      <c r="AC37" s="209" t="str">
        <f>IF(AB37="","",IF(AND($Q$63=1,$U$67=$U$68,$U$68=$U$66,$U$66=$U$62,$U$62=$U$54),120,IF(AND($Q$63=2,$U$67=$U$68,$U$68=$U$66,$U$66=$U$62,$U$62=$U$54),60,IF(AND($Q$63=3,$U$67=$U$68,$U$68=$U$66,$U$66=$U$62,$U$62=$U$54),40,""))))</f>
        <v/>
      </c>
      <c r="AD37" s="209" t="str">
        <f>IF(AC37="","",IF(AND($Q$63=1,$U$67=$U$68,$U$68=$U$66,$U$66=$U$62,$U$62=$U$54,$U$38=$U$54),120,IF(AND($Q$63=2,$U$67=$U$68,$U$68=$U$66,$U$66=$U$62,$U$62=$U$54,$U$38=$U$54),60,IF(AND($Q$63=3,$U$67=$U$68,$U$68=$U$66,$U$66=$U$62,$U$62=$U$54,$U$38=$U$54),40,""))))</f>
        <v/>
      </c>
      <c r="AE37" s="237">
        <f t="shared" si="1"/>
        <v>0</v>
      </c>
      <c r="AF37" s="186"/>
      <c r="AG37" s="238"/>
      <c r="AH37" s="238"/>
      <c r="AI37" s="238"/>
      <c r="AJ37" s="238"/>
    </row>
    <row r="38" spans="1:36" s="234" customFormat="1" ht="9.6" customHeight="1">
      <c r="A38" s="239"/>
      <c r="B38" s="240"/>
      <c r="C38" s="240"/>
      <c r="D38" s="240"/>
      <c r="E38" s="241"/>
      <c r="F38" s="241"/>
      <c r="G38" s="242"/>
      <c r="H38" s="241"/>
      <c r="I38" s="257"/>
      <c r="J38" s="227"/>
      <c r="K38" s="228"/>
      <c r="L38" s="227"/>
      <c r="M38" s="262"/>
      <c r="N38" s="277" t="s">
        <v>85</v>
      </c>
      <c r="O38" s="278"/>
      <c r="P38" s="259" t="str">
        <f>UPPER(IF(OR(O39="a",O39="as"),P22,IF(OR(O39="b",O39="bs"),P54,)))</f>
        <v/>
      </c>
      <c r="Q38" s="279"/>
      <c r="R38" s="233"/>
      <c r="U38" s="180" t="str">
        <f>IF(OR(O39="a",O39="as"),U22,IF(OR(O39="b",O39="bs"),U54,""))</f>
        <v/>
      </c>
      <c r="V38" s="208">
        <v>32</v>
      </c>
      <c r="W38" s="263" t="str">
        <f>UPPER(IF($D69="","",VLOOKUP($D69,'[4]m glavni turnir žrebna lista'!$A$7:$R$38,3)))</f>
        <v>TANJŠEK ZMAGO</v>
      </c>
      <c r="X38" s="263" t="str">
        <f>PROPER(IF($D69="","",VLOOKUP($D69,'[4]m glavni turnir žrebna lista'!$A$7:$R$38,4)))</f>
        <v>2</v>
      </c>
      <c r="Y38" s="249" t="str">
        <f t="shared" si="0"/>
        <v/>
      </c>
      <c r="Z38" s="249" t="str">
        <f>IF(Y38="","",IF(AND($Q$63=1,U69=U68),30,IF(AND($Q$63=2,U69=U68),15,IF(AND($Q$63=3,U69=U68),10,""))))</f>
        <v/>
      </c>
      <c r="AA38" s="249" t="str">
        <f>IF(Z38="","",IF(AND($Q$63=1,U69=U66,U66=U68),60,IF(AND($Q$63=2,U69=U66,U66=U68),30,IF(AND($Q$63=3,U69=U66,U66=U68),20,""))))</f>
        <v/>
      </c>
      <c r="AB38" s="249" t="str">
        <f>IF(AA38="","",IF(AND($Q$63=1,U62=U66,U66=U68,U68=U69),120,IF(AND($Q$63=2,U62=U66,U66=U68,U68=U69),60,IF(AND($Q$63=3,U62=U66,U66=U68,U68=U69),40,""))))</f>
        <v/>
      </c>
      <c r="AC38" s="249" t="str">
        <f>IF(AB38="","",IF(AND($Q$63=1,$U$69=$U$68,$U$68=$U$66,$U$66=$U$62,$U$62=$U$54),120,IF(AND($Q$63=2,$U$69=$U$68,$U$68=$U$66,$U$66=$U$62,$U$62=$U$54),60,IF(AND($Q$63=3,$U$69=$U$68,$U$68=$U$66,$U$66=$U$62,$U$62=$U$54),40,""))))</f>
        <v/>
      </c>
      <c r="AD38" s="249" t="str">
        <f>IF(AC38="","",IF(AND($Q$63=1,$U$69=$U$68,$U$68=$U$66,$U$66=$U$62,$U$62=$U$54,$U$38=$U$54),120,IF(AND($Q$63=2,$U$69=$U$68,$U$68=$U$66,$U$66=$U$62,$U$62=$U$54,$U$38=$U$54),60,IF(AND($Q$63=3,$U$69=$U$68,$U$68=$U$66,$U$66=$U$62,$U$62=$U$54,$U$38=$U$54),40,""))))</f>
        <v/>
      </c>
      <c r="AE38" s="250">
        <f t="shared" si="1"/>
        <v>0</v>
      </c>
      <c r="AF38" s="186"/>
      <c r="AG38" s="238"/>
      <c r="AH38" s="238"/>
      <c r="AI38" s="238"/>
      <c r="AJ38" s="238"/>
    </row>
    <row r="39" spans="1:36" s="234" customFormat="1" ht="9.6" customHeight="1">
      <c r="A39" s="223">
        <v>17</v>
      </c>
      <c r="B39" s="224">
        <f>IF($D39="","",VLOOKUP($D39,'[4]m glavni turnir žrebna lista'!$A$7:$R$38,17))</f>
        <v>0</v>
      </c>
      <c r="C39" s="224">
        <f>IF($D39="","",VLOOKUP($D39,'[4]m glavni turnir žrebna lista'!$A$7:$R$38,2))</f>
        <v>0</v>
      </c>
      <c r="D39" s="225">
        <v>7</v>
      </c>
      <c r="E39" s="224" t="str">
        <f>UPPER(IF($D39="","",VLOOKUP($D39,'[4]m glavni turnir žrebna lista'!$A$7:$R$38,3)))</f>
        <v>DOLČIČ BRANE</v>
      </c>
      <c r="F39" s="224" t="str">
        <f>PROPER(IF($D39="","",VLOOKUP($D39,'[4]m glavni turnir žrebna lista'!$A$7:$R$38,4)))</f>
        <v>7</v>
      </c>
      <c r="G39" s="224"/>
      <c r="H39" s="224">
        <f>IF($D39="","",VLOOKUP($D39,'[4]m glavni turnir žrebna lista'!$A$7:$R$38,5))</f>
        <v>0</v>
      </c>
      <c r="I39" s="226">
        <f>IF($D39="","",VLOOKUP($D39,'[4]m glavni turnir žrebna lista'!$A$7:$R$38,14))</f>
        <v>0</v>
      </c>
      <c r="J39" s="227"/>
      <c r="K39" s="228"/>
      <c r="L39" s="227"/>
      <c r="M39" s="262"/>
      <c r="N39" s="243" t="s">
        <v>87</v>
      </c>
      <c r="O39" s="280"/>
      <c r="P39" s="254"/>
      <c r="Q39" s="269"/>
      <c r="R39" s="233"/>
      <c r="U39" s="180">
        <f>IF($D39="","",VLOOKUP($D39,'[4]m glavni turnir žrebna lista'!$A$7:$R$38,2))</f>
        <v>0</v>
      </c>
      <c r="V39" s="238"/>
      <c r="W39" s="238"/>
      <c r="X39" s="238"/>
      <c r="Y39" s="184">
        <f>COUNTIF(Y7:Y38,"&gt;0")</f>
        <v>0</v>
      </c>
      <c r="Z39" s="184">
        <f aca="true" t="shared" si="2" ref="Z39:AE39">COUNTIF(Z7:Z38,"&gt;0")</f>
        <v>0</v>
      </c>
      <c r="AA39" s="184">
        <f t="shared" si="2"/>
        <v>0</v>
      </c>
      <c r="AB39" s="184">
        <f t="shared" si="2"/>
        <v>0</v>
      </c>
      <c r="AC39" s="184">
        <f t="shared" si="2"/>
        <v>0</v>
      </c>
      <c r="AD39" s="184">
        <f t="shared" si="2"/>
        <v>0</v>
      </c>
      <c r="AE39" s="184">
        <f t="shared" si="2"/>
        <v>0</v>
      </c>
      <c r="AF39" s="186"/>
      <c r="AG39" s="238"/>
      <c r="AH39" s="238"/>
      <c r="AI39" s="238"/>
      <c r="AJ39" s="238"/>
    </row>
    <row r="40" spans="1:36" s="234" customFormat="1" ht="9.6" customHeight="1">
      <c r="A40" s="239"/>
      <c r="B40" s="240"/>
      <c r="C40" s="240"/>
      <c r="D40" s="240"/>
      <c r="E40" s="241"/>
      <c r="F40" s="241"/>
      <c r="G40" s="242"/>
      <c r="H40" s="243" t="s">
        <v>87</v>
      </c>
      <c r="I40" s="244" t="s">
        <v>135</v>
      </c>
      <c r="J40" s="259" t="str">
        <f>UPPER(IF(OR(I40="a",I40="as"),E39,IF(OR(I40="b",I40="bs"),E41,)))</f>
        <v>DOLČIČ BRANE</v>
      </c>
      <c r="K40" s="246">
        <f>IF(OR(I40="a",I40="as"),I39,IF(OR(I40="b",I40="bs"),I41,))</f>
        <v>0</v>
      </c>
      <c r="L40" s="227"/>
      <c r="M40" s="262"/>
      <c r="N40" s="229"/>
      <c r="O40" s="230"/>
      <c r="P40" s="229"/>
      <c r="Q40" s="269"/>
      <c r="R40" s="233"/>
      <c r="U40" s="180">
        <f>IF(OR(I40="a",I40="as"),C39,IF(OR(I40="b",I40="bs"),C41,""))</f>
        <v>0</v>
      </c>
      <c r="V40" s="238"/>
      <c r="W40" s="238"/>
      <c r="X40" s="238"/>
      <c r="Y40" s="238"/>
      <c r="Z40" s="238"/>
      <c r="AA40" s="238"/>
      <c r="AB40" s="238"/>
      <c r="AC40" s="238"/>
      <c r="AD40" s="238"/>
      <c r="AE40" s="238"/>
      <c r="AF40" s="186"/>
      <c r="AG40" s="238"/>
      <c r="AH40" s="238"/>
      <c r="AI40" s="238"/>
      <c r="AJ40" s="238"/>
    </row>
    <row r="41" spans="1:36" s="234" customFormat="1" ht="9.6" customHeight="1">
      <c r="A41" s="239">
        <v>18</v>
      </c>
      <c r="B41" s="251" t="str">
        <f>IF($D41="","",VLOOKUP($D41,'[4]m glavni turnir žrebna lista'!$A$7:$R$38,17))</f>
        <v/>
      </c>
      <c r="C41" s="251" t="str">
        <f>IF($D41="","",VLOOKUP($D41,'[4]m glavni turnir žrebna lista'!$A$7:$R$38,2))</f>
        <v/>
      </c>
      <c r="D41" s="225"/>
      <c r="E41" s="252" t="s">
        <v>3</v>
      </c>
      <c r="F41" s="252" t="str">
        <f>PROPER(IF($D41="","",VLOOKUP($D41,'[4]m glavni turnir žrebna lista'!$A$7:$R$38,4)))</f>
        <v/>
      </c>
      <c r="G41" s="252"/>
      <c r="H41" s="252" t="str">
        <f>IF($D41="","",VLOOKUP($D41,'[4]m glavni turnir žrebna lista'!$A$7:$R$38,5))</f>
        <v/>
      </c>
      <c r="I41" s="253" t="str">
        <f>IF($D41="","",VLOOKUP($D41,'[4]m glavni turnir žrebna lista'!$A$7:$R$38,14))</f>
        <v/>
      </c>
      <c r="J41" s="254"/>
      <c r="K41" s="255"/>
      <c r="L41" s="227"/>
      <c r="M41" s="262"/>
      <c r="N41" s="229"/>
      <c r="O41" s="230"/>
      <c r="P41" s="229"/>
      <c r="Q41" s="269"/>
      <c r="R41" s="233"/>
      <c r="U41" s="180" t="str">
        <f>IF($D41="","",VLOOKUP($D41,'[4]m glavni turnir žrebna lista'!$A$7:$R$38,2))</f>
        <v/>
      </c>
      <c r="V41" s="525" t="s">
        <v>93</v>
      </c>
      <c r="W41" s="525"/>
      <c r="X41" s="525"/>
      <c r="Y41" s="525"/>
      <c r="Z41" s="525"/>
      <c r="AA41" s="281"/>
      <c r="AB41" s="281"/>
      <c r="AC41" s="281"/>
      <c r="AD41" s="281"/>
      <c r="AE41" s="282"/>
      <c r="AF41" s="283"/>
      <c r="AG41" s="284" t="s">
        <v>94</v>
      </c>
      <c r="AH41" s="283"/>
      <c r="AI41" s="283"/>
      <c r="AJ41" s="283"/>
    </row>
    <row r="42" spans="1:36" s="234" customFormat="1" ht="9.6" customHeight="1">
      <c r="A42" s="239"/>
      <c r="B42" s="240"/>
      <c r="C42" s="240"/>
      <c r="D42" s="256"/>
      <c r="E42" s="241"/>
      <c r="F42" s="241"/>
      <c r="G42" s="242"/>
      <c r="H42" s="241"/>
      <c r="I42" s="257"/>
      <c r="J42" s="243" t="s">
        <v>87</v>
      </c>
      <c r="K42" s="258"/>
      <c r="L42" s="259" t="str">
        <f>UPPER(IF(OR(K42="a",K42="as"),J40,IF(OR(K42="b",K42="bs"),J44,)))</f>
        <v/>
      </c>
      <c r="M42" s="260">
        <f>IF(OR(K42="a",K42="as"),K40,IF(OR(K42="b",K42="bs"),K44,))</f>
        <v>0</v>
      </c>
      <c r="N42" s="229"/>
      <c r="O42" s="230"/>
      <c r="P42" s="229"/>
      <c r="Q42" s="269"/>
      <c r="R42" s="233"/>
      <c r="U42" s="180" t="str">
        <f>IF(OR(K42="a",K42="as"),U40,IF(OR(K42="b",K42="bs"),U44,""))</f>
        <v/>
      </c>
      <c r="V42" s="283"/>
      <c r="W42" s="285"/>
      <c r="X42" s="286"/>
      <c r="Y42" s="281"/>
      <c r="Z42" s="281"/>
      <c r="AA42" s="281"/>
      <c r="AB42" s="281"/>
      <c r="AC42" s="281"/>
      <c r="AD42" s="281"/>
      <c r="AE42" s="282"/>
      <c r="AF42" s="283"/>
      <c r="AG42" s="283"/>
      <c r="AH42" s="283"/>
      <c r="AI42" s="283"/>
      <c r="AJ42" s="283"/>
    </row>
    <row r="43" spans="1:36" s="234" customFormat="1" ht="9.6" customHeight="1">
      <c r="A43" s="239">
        <v>19</v>
      </c>
      <c r="B43" s="251">
        <f>IF($D43="","",VLOOKUP($D43,'[4]m glavni turnir žrebna lista'!$A$7:$R$38,17))</f>
        <v>0</v>
      </c>
      <c r="C43" s="251">
        <f>IF($D43="","",VLOOKUP($D43,'[4]m glavni turnir žrebna lista'!$A$7:$R$38,2))</f>
        <v>0</v>
      </c>
      <c r="D43" s="225">
        <v>17</v>
      </c>
      <c r="E43" s="252" t="str">
        <f>UPPER(IF($D43="","",VLOOKUP($D43,'[4]m glavni turnir žrebna lista'!$A$7:$R$38,3)))</f>
        <v>PERGAR ANDREJ</v>
      </c>
      <c r="F43" s="252" t="str">
        <f>PROPER(IF($D43="","",VLOOKUP($D43,'[4]m glavni turnir žrebna lista'!$A$7:$R$38,4)))</f>
        <v/>
      </c>
      <c r="G43" s="252"/>
      <c r="H43" s="252">
        <f>IF($D43="","",VLOOKUP($D43,'[4]m glavni turnir žrebna lista'!$A$7:$R$38,5))</f>
        <v>0</v>
      </c>
      <c r="I43" s="226">
        <f>IF($D43="","",VLOOKUP($D43,'[4]m glavni turnir žrebna lista'!$A$7:$R$38,14))</f>
        <v>0</v>
      </c>
      <c r="J43" s="227"/>
      <c r="K43" s="264"/>
      <c r="L43" s="254"/>
      <c r="M43" s="265"/>
      <c r="N43" s="229"/>
      <c r="O43" s="230"/>
      <c r="P43" s="229"/>
      <c r="Q43" s="269"/>
      <c r="R43" s="233"/>
      <c r="U43" s="180">
        <f>IF($D43="","",VLOOKUP($D43,'[4]m glavni turnir žrebna lista'!$A$7:$R$38,2))</f>
        <v>0</v>
      </c>
      <c r="V43" s="287" t="s">
        <v>81</v>
      </c>
      <c r="W43" s="285" t="s">
        <v>75</v>
      </c>
      <c r="X43" s="285" t="s">
        <v>76</v>
      </c>
      <c r="Y43" s="281" t="s">
        <v>82</v>
      </c>
      <c r="Z43" s="281" t="s">
        <v>83</v>
      </c>
      <c r="AA43" s="281" t="s">
        <v>78</v>
      </c>
      <c r="AB43" s="281" t="s">
        <v>79</v>
      </c>
      <c r="AC43" s="281" t="s">
        <v>80</v>
      </c>
      <c r="AD43" s="281"/>
      <c r="AE43" s="288" t="s">
        <v>86</v>
      </c>
      <c r="AF43" s="283"/>
      <c r="AG43" s="285" t="s">
        <v>75</v>
      </c>
      <c r="AH43" s="285" t="s">
        <v>76</v>
      </c>
      <c r="AI43" s="285" t="s">
        <v>66</v>
      </c>
      <c r="AJ43" s="284" t="s">
        <v>86</v>
      </c>
    </row>
    <row r="44" spans="1:36" s="234" customFormat="1" ht="9.6" customHeight="1">
      <c r="A44" s="239"/>
      <c r="B44" s="240"/>
      <c r="C44" s="240"/>
      <c r="D44" s="256">
        <v>12</v>
      </c>
      <c r="E44" s="241"/>
      <c r="F44" s="241"/>
      <c r="G44" s="242"/>
      <c r="H44" s="243" t="s">
        <v>87</v>
      </c>
      <c r="I44" s="244"/>
      <c r="J44" s="259" t="str">
        <f>UPPER(IF(OR(I44="a",I44="as"),E43,IF(OR(I44="b",I44="bs"),E45,)))</f>
        <v/>
      </c>
      <c r="K44" s="266">
        <f>IF(OR(I44="a",I44="as"),I43,IF(OR(I44="b",I44="bs"),I45,))</f>
        <v>0</v>
      </c>
      <c r="L44" s="227"/>
      <c r="M44" s="265"/>
      <c r="N44" s="229"/>
      <c r="O44" s="230"/>
      <c r="P44" s="229"/>
      <c r="Q44" s="269"/>
      <c r="R44" s="233"/>
      <c r="S44" s="289"/>
      <c r="T44" s="290"/>
      <c r="U44" s="291" t="str">
        <f>IF(OR(I44="a",I44="as"),C43,IF(OR(I44="b",I44="bs"),C45,""))</f>
        <v/>
      </c>
      <c r="V44" s="285"/>
      <c r="W44" s="285"/>
      <c r="X44" s="285"/>
      <c r="Y44" s="281"/>
      <c r="Z44" s="281"/>
      <c r="AA44" s="281"/>
      <c r="AB44" s="281"/>
      <c r="AC44" s="281"/>
      <c r="AD44" s="281"/>
      <c r="AE44" s="292"/>
      <c r="AF44" s="283"/>
      <c r="AG44" s="283"/>
      <c r="AH44" s="283"/>
      <c r="AI44" s="283"/>
      <c r="AJ44" s="293"/>
    </row>
    <row r="45" spans="1:36" s="234" customFormat="1" ht="9.6" customHeight="1">
      <c r="A45" s="239">
        <v>20</v>
      </c>
      <c r="B45" s="251">
        <f>IF($D45="","",VLOOKUP($D45,'[4]m glavni turnir žrebna lista'!$A$7:$R$38,17))</f>
        <v>0</v>
      </c>
      <c r="C45" s="251">
        <f>IF($D45="","",VLOOKUP($D45,'[4]m glavni turnir žrebna lista'!$A$7:$R$38,2))</f>
        <v>0</v>
      </c>
      <c r="D45" s="225">
        <v>12</v>
      </c>
      <c r="E45" s="252" t="str">
        <f>UPPER(IF($D45="","",VLOOKUP($D45,'[4]m glavni turnir žrebna lista'!$A$7:$R$38,3)))</f>
        <v>GLAVIČ BOJAN</v>
      </c>
      <c r="F45" s="252" t="str">
        <f>PROPER(IF($D45="","",VLOOKUP($D45,'[4]m glavni turnir žrebna lista'!$A$7:$R$38,4)))</f>
        <v/>
      </c>
      <c r="G45" s="252"/>
      <c r="H45" s="252">
        <f>IF($D45="","",VLOOKUP($D45,'[4]m glavni turnir žrebna lista'!$A$7:$R$38,5))</f>
        <v>0</v>
      </c>
      <c r="I45" s="253">
        <f>IF($D45="","",VLOOKUP($D45,'[4]m glavni turnir žrebna lista'!$A$7:$R$38,14))</f>
        <v>0</v>
      </c>
      <c r="J45" s="254"/>
      <c r="K45" s="228"/>
      <c r="L45" s="227"/>
      <c r="M45" s="265"/>
      <c r="N45" s="229"/>
      <c r="O45" s="230"/>
      <c r="P45" s="229"/>
      <c r="Q45" s="269"/>
      <c r="R45" s="233"/>
      <c r="S45" s="290"/>
      <c r="T45" s="290"/>
      <c r="U45" s="291">
        <f>IF($D45="","",VLOOKUP($D45,'[4]m glavni turnir žrebna lista'!$A$7:$R$38,2))</f>
        <v>0</v>
      </c>
      <c r="V45" s="285">
        <v>1</v>
      </c>
      <c r="W45" s="294" t="str">
        <f>UPPER(IF($D$7="","",VLOOKUP($D$7,'[4]m glavni turnir žrebna lista'!$A$7:$R$38,3)))</f>
        <v>BELIŠ IVO</v>
      </c>
      <c r="X45" s="285" t="str">
        <f>PROPER(IF($D$7="","",VLOOKUP($D$7,'[4]m glavni turnir žrebna lista'!$A$7:$R$38,4)))</f>
        <v>1</v>
      </c>
      <c r="Y45" s="295" t="str">
        <f>IF($W$45="","",IF($U$7&lt;&gt;$U$8,"",IF($J$9="bb",1,IF($J$9="","0",$I$9))))</f>
        <v>0</v>
      </c>
      <c r="Z45" s="281" t="str">
        <f>IF($W$45="","",IF($U$10&lt;&gt;$U$7,"",IF($L$11="bb",1,IF($L$11="","0",$K$12))))</f>
        <v/>
      </c>
      <c r="AA45" s="295" t="str">
        <f>IF($W$45="","",IF($U$14&lt;&gt;$U$7,"",IF($N$15="bb",1,IF($N$15="","0",$M$18))))</f>
        <v/>
      </c>
      <c r="AB45" s="295" t="str">
        <f>IF($W$45="","",IF($U$22&lt;&gt;$U$7,"",IF($P$23="bb",1,IF($P$23="","0",$O$30))))</f>
        <v/>
      </c>
      <c r="AC45" s="296" t="str">
        <f>IF($W$45="","",IF($U$38&lt;&gt;$U$7,"",IF($P$39="bb",1,IF($P$39="","0",$Q$54))))</f>
        <v/>
      </c>
      <c r="AD45" s="281"/>
      <c r="AE45" s="292">
        <f>IF($C$2="B turnir",SUM(Y45:AD45)*0.1,SUM(Y45:AD45))</f>
        <v>0</v>
      </c>
      <c r="AF45" s="283">
        <f>IF($C7="","",'m glavni 55+'!$C$7)</f>
        <v>0</v>
      </c>
      <c r="AG45" s="285" t="str">
        <f>UPPER(IF($D$7="","",VLOOKUP($D$7,'[4]m glavni turnir žrebna lista'!$A$7:$R$38,3)))</f>
        <v>BELIŠ IVO</v>
      </c>
      <c r="AH45" s="285" t="str">
        <f>PROPER(IF($D$7="","",VLOOKUP($D$7,'[4]m glavni turnir žrebna lista'!$A$7:$R$38,4)))</f>
        <v>1</v>
      </c>
      <c r="AI45" s="285" t="str">
        <f>UPPER(IF($D$7="","",VLOOKUP($D$7,'[4]m glavni turnir žrebna lista'!$A$7:$R$38,5)))</f>
        <v/>
      </c>
      <c r="AJ45" s="292">
        <f>SUM(AE7,AE45)</f>
        <v>0</v>
      </c>
    </row>
    <row r="46" spans="1:36" s="234" customFormat="1" ht="9.6" customHeight="1">
      <c r="A46" s="239"/>
      <c r="B46" s="240"/>
      <c r="C46" s="240"/>
      <c r="D46" s="256"/>
      <c r="E46" s="227"/>
      <c r="F46" s="227"/>
      <c r="G46" s="267"/>
      <c r="H46" s="268"/>
      <c r="I46" s="257"/>
      <c r="J46" s="227"/>
      <c r="K46" s="228"/>
      <c r="L46" s="243" t="s">
        <v>87</v>
      </c>
      <c r="M46" s="258"/>
      <c r="N46" s="259" t="str">
        <f>UPPER(IF(OR(M46="a",M46="as"),L42,IF(OR(M46="b",M46="bs"),L50,)))</f>
        <v/>
      </c>
      <c r="O46" s="297">
        <f>IF(OR(M46="a",M46="as"),M42,IF(OR(M46="b",M46="bs"),M50,))</f>
        <v>0</v>
      </c>
      <c r="P46" s="229"/>
      <c r="Q46" s="269"/>
      <c r="R46" s="233"/>
      <c r="S46" s="298"/>
      <c r="T46" s="290"/>
      <c r="U46" s="291" t="str">
        <f>IF(OR(M46="a",M46="as"),U42,IF(OR(M46="b",M46="bs"),U50,""))</f>
        <v/>
      </c>
      <c r="V46" s="285">
        <v>2</v>
      </c>
      <c r="W46" s="285" t="str">
        <f>UPPER(IF($D$9="","",VLOOKUP($D$9,'[4]m glavni turnir žrebna lista'!$A$7:$R$38,3)))</f>
        <v/>
      </c>
      <c r="X46" s="285" t="str">
        <f>PROPER(IF($D$9="","",VLOOKUP($D$9,'[4]m glavni turnir žrebna lista'!$A$7:$R$38,4)))</f>
        <v/>
      </c>
      <c r="Y46" s="281" t="str">
        <f>IF(W46="","",IF($U$9&lt;&gt;$U$8,"",IF($J$9="bb",1,IF($J$9="","0",$I$7))))</f>
        <v/>
      </c>
      <c r="Z46" s="281" t="str">
        <f>IF($W$45="","",IF($U$10&lt;&gt;$U$9,"",IF($L$11="bb",1,IF($L$11="","0",$K$12))))</f>
        <v>0</v>
      </c>
      <c r="AA46" s="281" t="str">
        <f>IF($W$45="","",IF($U$14&lt;&gt;$U$9,"",IF($N$15="bb",1,IF($N$15="","0",$M$18))))</f>
        <v>0</v>
      </c>
      <c r="AB46" s="281" t="str">
        <f>IF($W$45="","",IF($U$22&lt;&gt;$U$9,"",IF($P$23="bb",1,IF($P$23="","0",$O$30))))</f>
        <v>0</v>
      </c>
      <c r="AC46" s="281" t="str">
        <f>IF($W$45="","",IF($U$38&lt;&gt;$U$9,"",IF($P$39="bb",1,IF($P$39="","0",$Q$54))))</f>
        <v>0</v>
      </c>
      <c r="AD46" s="281"/>
      <c r="AE46" s="292">
        <f aca="true" t="shared" si="3" ref="AE46:AE76">IF($C$2="B turnir",SUM(Y46:AD46)*0.1,SUM(Y46:AD46))</f>
        <v>0</v>
      </c>
      <c r="AF46" s="283" t="str">
        <f>IF($C9="","",'m glavni 55+'!$C$9)</f>
        <v/>
      </c>
      <c r="AG46" s="285" t="str">
        <f>UPPER(IF($D$9="","",VLOOKUP($D$9,'[4]m glavni turnir žrebna lista'!$A$7:$R$38,3)))</f>
        <v/>
      </c>
      <c r="AH46" s="285" t="str">
        <f>PROPER(IF($D$9="","",VLOOKUP($D$9,'[4]m glavni turnir žrebna lista'!$A$7:$R$38,4)))</f>
        <v/>
      </c>
      <c r="AI46" s="285" t="str">
        <f>UPPER(IF($D$9="","",VLOOKUP($D$9,'[4]m glavni turnir žrebna lista'!$A$7:$R$38,5)))</f>
        <v/>
      </c>
      <c r="AJ46" s="292">
        <f>SUM(AE8,AE46)</f>
        <v>0</v>
      </c>
    </row>
    <row r="47" spans="1:36" s="234" customFormat="1" ht="9.6" customHeight="1">
      <c r="A47" s="239">
        <v>21</v>
      </c>
      <c r="B47" s="251" t="str">
        <f>IF($D47="","",VLOOKUP($D47,'[4]m glavni turnir žrebna lista'!$A$7:$R$38,17))</f>
        <v/>
      </c>
      <c r="C47" s="251" t="str">
        <f>IF($D47="","",VLOOKUP($D47,'[4]m glavni turnir žrebna lista'!$A$7:$R$38,2))</f>
        <v/>
      </c>
      <c r="D47" s="225"/>
      <c r="E47" s="252" t="s">
        <v>3</v>
      </c>
      <c r="F47" s="252" t="str">
        <f>PROPER(IF($D47="","",VLOOKUP($D47,'[4]m glavni turnir žrebna lista'!$A$7:$R$38,4)))</f>
        <v/>
      </c>
      <c r="G47" s="252"/>
      <c r="H47" s="252" t="str">
        <f>IF($D47="","",VLOOKUP($D47,'[4]m glavni turnir žrebna lista'!$A$7:$R$38,5))</f>
        <v/>
      </c>
      <c r="I47" s="226" t="str">
        <f>IF($D47="","",VLOOKUP($D47,'[4]m glavni turnir žrebna lista'!$A$7:$R$38,14))</f>
        <v/>
      </c>
      <c r="J47" s="227"/>
      <c r="K47" s="228"/>
      <c r="L47" s="227"/>
      <c r="M47" s="265"/>
      <c r="N47" s="254"/>
      <c r="O47" s="269"/>
      <c r="P47" s="229"/>
      <c r="Q47" s="269"/>
      <c r="R47" s="233"/>
      <c r="S47" s="299"/>
      <c r="T47" s="290"/>
      <c r="U47" s="291" t="str">
        <f>IF($D47="","",VLOOKUP($D47,'[4]m glavni turnir žrebna lista'!$A$7:$R$38,2))</f>
        <v/>
      </c>
      <c r="V47" s="285">
        <v>3</v>
      </c>
      <c r="W47" s="285" t="str">
        <f>UPPER(IF($D$11="","",VLOOKUP($D$11,'[4]m glavni turnir žrebna lista'!$A$7:$R$38,3)))</f>
        <v>BEŠIREVIČ NEDO</v>
      </c>
      <c r="X47" s="285" t="str">
        <f>PROPER(IF($D$11="","",VLOOKUP($D$11,'[4]m glavni turnir žrebna lista'!$A$7:$R$38,4)))</f>
        <v/>
      </c>
      <c r="Y47" s="281" t="str">
        <f>IF(W47="","",IF($U$11&lt;&gt;$U$12,"",IF($J$13="bb",1,IF($J$13="","0",$I$13))))</f>
        <v/>
      </c>
      <c r="Z47" s="281" t="str">
        <f>IF($W$45="","",IF($U$10&lt;&gt;$U$11,"",IF($L$11="bb",1,IF($L$11="","0",$K$8))))</f>
        <v/>
      </c>
      <c r="AA47" s="281" t="str">
        <f>IF($W$45="","",IF($U$14&lt;&gt;$U$11,"",IF($N$15="bb",1,IF($N$15="","0",$M$18))))</f>
        <v/>
      </c>
      <c r="AB47" s="281" t="str">
        <f>IF($W$45="","",IF($U$22&lt;&gt;$U11,"",IF($P$23="bb",1,IF($P$23="","0",$O$30))))</f>
        <v/>
      </c>
      <c r="AC47" s="281" t="str">
        <f>IF($W$45="","",IF($U$38&lt;&gt;$U$11,"",IF($P$39="bb",1,IF($P$39="","0",$Q$54))))</f>
        <v/>
      </c>
      <c r="AD47" s="281"/>
      <c r="AE47" s="292">
        <f t="shared" si="3"/>
        <v>0</v>
      </c>
      <c r="AF47" s="283">
        <f>IF($C11="","",'m glavni 55+'!$C$11)</f>
        <v>0</v>
      </c>
      <c r="AG47" s="285" t="str">
        <f>UPPER(IF($D$11="","",VLOOKUP($D$11,'[4]m glavni turnir žrebna lista'!$A$7:$R$38,3)))</f>
        <v>BEŠIREVIČ NEDO</v>
      </c>
      <c r="AH47" s="285" t="str">
        <f>PROPER(IF($D$11="","",VLOOKUP($D$11,'[4]m glavni turnir žrebna lista'!$A$7:$R$38,4)))</f>
        <v/>
      </c>
      <c r="AI47" s="285" t="str">
        <f>UPPER(IF($D$11="","",VLOOKUP($D$11,'[4]m glavni turnir žrebna lista'!$A$7:$R$38,5)))</f>
        <v/>
      </c>
      <c r="AJ47" s="292">
        <f aca="true" t="shared" si="4" ref="AJ47:AJ76">SUM(AE9,AE47)</f>
        <v>0</v>
      </c>
    </row>
    <row r="48" spans="1:36" s="234" customFormat="1" ht="9.6" customHeight="1">
      <c r="A48" s="239"/>
      <c r="B48" s="240"/>
      <c r="C48" s="240"/>
      <c r="D48" s="256"/>
      <c r="E48" s="241"/>
      <c r="F48" s="241"/>
      <c r="G48" s="242"/>
      <c r="H48" s="243" t="s">
        <v>87</v>
      </c>
      <c r="I48" s="244" t="s">
        <v>89</v>
      </c>
      <c r="J48" s="259" t="str">
        <f>UPPER(IF(OR(I48="a",I48="as"),E47,IF(OR(I48="b",I48="bs"),E49,)))</f>
        <v>MESEC DEJAN</v>
      </c>
      <c r="K48" s="246">
        <f>IF(OR(I48="a",I48="as"),I47,IF(OR(I48="b",I48="bs"),I49,))</f>
        <v>0</v>
      </c>
      <c r="L48" s="227"/>
      <c r="M48" s="265"/>
      <c r="N48" s="229"/>
      <c r="O48" s="269"/>
      <c r="P48" s="229"/>
      <c r="Q48" s="269"/>
      <c r="R48" s="233"/>
      <c r="S48" s="299"/>
      <c r="T48" s="290"/>
      <c r="U48" s="291">
        <f>IF(OR(I48="a",I48="as"),C47,IF(OR(I48="b",I48="bs"),C49,""))</f>
        <v>0</v>
      </c>
      <c r="V48" s="285">
        <v>4</v>
      </c>
      <c r="W48" s="285" t="str">
        <f>UPPER(IF($D$13="","",VLOOKUP($D$13,'[4]m glavni turnir žrebna lista'!$A$7:$R$38,3)))</f>
        <v>ŠEGA MARKO</v>
      </c>
      <c r="X48" s="285" t="str">
        <f>PROPER(IF($D$13="","",VLOOKUP($D$13,'[4]m glavni turnir žrebna lista'!$A$7:$R$38,4)))</f>
        <v/>
      </c>
      <c r="Y48" s="281" t="str">
        <f>IF(W48="","",IF($U$12&lt;&gt;$U$13,"",IF($J$13="bb",1,IF($J$13="","0",$I$11))))</f>
        <v/>
      </c>
      <c r="Z48" s="281" t="str">
        <f>IF($W$45="","",IF($U$10&lt;&gt;$U$13,"",IF($L$11="bb",1,IF($L$11="","0",$K$8))))</f>
        <v/>
      </c>
      <c r="AA48" s="281" t="str">
        <f>IF($W$45="","",IF($U$14&lt;&gt;$U$13,"",IF($N$15="bb",1,IF($N$15="","0",$M$18))))</f>
        <v/>
      </c>
      <c r="AB48" s="281" t="str">
        <f>IF($W$45="","",IF($U$22&lt;&gt;$U$13,"",IF($P$23="bb",1,IF($P$23="","0",$O$30))))</f>
        <v/>
      </c>
      <c r="AC48" s="281" t="str">
        <f>IF($W$45="","",IF($U$38&lt;&gt;$U$13,"",IF($P$39="bb",1,IF($P$39="","0",$Q$54))))</f>
        <v/>
      </c>
      <c r="AD48" s="281"/>
      <c r="AE48" s="292">
        <f t="shared" si="3"/>
        <v>0</v>
      </c>
      <c r="AF48" s="283">
        <f>IF($C13="","",'m glavni 55+'!$C$13)</f>
        <v>0</v>
      </c>
      <c r="AG48" s="285" t="str">
        <f>UPPER(IF($D$13="","",VLOOKUP($D$13,'[4]m glavni turnir žrebna lista'!$A$7:$R$38,3)))</f>
        <v>ŠEGA MARKO</v>
      </c>
      <c r="AH48" s="285" t="str">
        <f>PROPER(IF($D$13="","",VLOOKUP($D$13,'[4]m glavni turnir žrebna lista'!$A$7:$R$38,4)))</f>
        <v/>
      </c>
      <c r="AI48" s="285" t="str">
        <f>UPPER(IF($D$13="","",VLOOKUP($D$13,'[4]m glavni turnir žrebna lista'!$A$7:$R$38,5)))</f>
        <v/>
      </c>
      <c r="AJ48" s="292">
        <f t="shared" si="4"/>
        <v>0</v>
      </c>
    </row>
    <row r="49" spans="1:36" s="234" customFormat="1" ht="9.6" customHeight="1">
      <c r="A49" s="239">
        <v>22</v>
      </c>
      <c r="B49" s="251">
        <f>IF($D49="","",VLOOKUP($D49,'[4]m glavni turnir žrebna lista'!$A$7:$R$38,17))</f>
        <v>0</v>
      </c>
      <c r="C49" s="251">
        <f>IF($D49="","",VLOOKUP($D49,'[4]m glavni turnir žrebna lista'!$A$7:$R$38,2))</f>
        <v>0</v>
      </c>
      <c r="D49" s="225">
        <v>15</v>
      </c>
      <c r="E49" s="252" t="str">
        <f>UPPER(IF($D49="","",VLOOKUP($D49,'[4]m glavni turnir žrebna lista'!$A$7:$R$38,3)))</f>
        <v>MESEC DEJAN</v>
      </c>
      <c r="F49" s="252" t="str">
        <f>PROPER(IF($D49="","",VLOOKUP($D49,'[4]m glavni turnir žrebna lista'!$A$7:$R$38,4)))</f>
        <v/>
      </c>
      <c r="G49" s="252"/>
      <c r="H49" s="252">
        <f>IF($D49="","",VLOOKUP($D49,'[4]m glavni turnir žrebna lista'!$A$7:$R$38,5))</f>
        <v>0</v>
      </c>
      <c r="I49" s="253">
        <f>IF($D49="","",VLOOKUP($D49,'[4]m glavni turnir žrebna lista'!$A$7:$R$38,14))</f>
        <v>0</v>
      </c>
      <c r="J49" s="254"/>
      <c r="K49" s="255"/>
      <c r="L49" s="227"/>
      <c r="M49" s="265"/>
      <c r="N49" s="229"/>
      <c r="O49" s="269"/>
      <c r="P49" s="229"/>
      <c r="Q49" s="269"/>
      <c r="R49" s="233"/>
      <c r="S49" s="299"/>
      <c r="T49" s="290"/>
      <c r="U49" s="291">
        <f>IF($D49="","",VLOOKUP($D49,'[4]m glavni turnir žrebna lista'!$A$7:$R$38,2))</f>
        <v>0</v>
      </c>
      <c r="V49" s="285">
        <v>5</v>
      </c>
      <c r="W49" s="285" t="str">
        <f>UPPER(IF($D$15="","",VLOOKUP($D$15,'[4]m glavni turnir žrebna lista'!$A$7:$R$38,3)))</f>
        <v/>
      </c>
      <c r="X49" s="285" t="str">
        <f>PROPER(IF($D$15="","",VLOOKUP($D$15,'[4]m glavni turnir žrebna lista'!$A$7:$R$38,4)))</f>
        <v/>
      </c>
      <c r="Y49" s="281" t="str">
        <f>IF(W49="","",IF($U$16&lt;&gt;$U$15,"",IF($J$17="bb",1,IF($J$17="","0",$I$17))))</f>
        <v/>
      </c>
      <c r="Z49" s="281" t="str">
        <f>IF($W$45="","",IF($U$18&lt;&gt;$U$15,"",IF($L$19="bb",1,IF($L$19="","0",$K$20))))</f>
        <v>0</v>
      </c>
      <c r="AA49" s="281" t="str">
        <f>IF($W$45="","",IF($U$14&lt;&gt;$U$15,"",IF($N$15="bb",1,IF($N$15="","0",$M$10))))</f>
        <v>0</v>
      </c>
      <c r="AB49" s="281" t="str">
        <f>IF($W$45="","",IF($U$22&lt;&gt;$U$15,"",IF($P$23="bb",1,IF($P$23="","0",$O$30))))</f>
        <v>0</v>
      </c>
      <c r="AC49" s="281" t="str">
        <f>IF($W$45="","",IF($U$38&lt;&gt;$U$15,"",IF($P$39="bb",1,IF($P$39="","0",$Q$54))))</f>
        <v>0</v>
      </c>
      <c r="AD49" s="281"/>
      <c r="AE49" s="292">
        <f t="shared" si="3"/>
        <v>0</v>
      </c>
      <c r="AF49" s="283" t="str">
        <f>IF($C15="","",'m glavni 55+'!$C$15)</f>
        <v/>
      </c>
      <c r="AG49" s="285" t="str">
        <f>UPPER(IF($D$15="","",VLOOKUP($D$15,'[4]m glavni turnir žrebna lista'!$A$7:$R$38,3)))</f>
        <v/>
      </c>
      <c r="AH49" s="285" t="str">
        <f>PROPER(IF($D$15="","",VLOOKUP($D$15,'[4]m glavni turnir žrebna lista'!$A$7:$R$38,4)))</f>
        <v/>
      </c>
      <c r="AI49" s="285" t="str">
        <f>UPPER(IF($D$15="","",VLOOKUP($D$15,'[4]m glavni turnir žrebna lista'!$A$7:$R$38,5)))</f>
        <v/>
      </c>
      <c r="AJ49" s="292">
        <f t="shared" si="4"/>
        <v>0</v>
      </c>
    </row>
    <row r="50" spans="1:36" s="234" customFormat="1" ht="9.6" customHeight="1">
      <c r="A50" s="239"/>
      <c r="B50" s="240"/>
      <c r="C50" s="240"/>
      <c r="D50" s="256"/>
      <c r="E50" s="241"/>
      <c r="F50" s="241"/>
      <c r="G50" s="242"/>
      <c r="H50" s="227"/>
      <c r="I50" s="257"/>
      <c r="J50" s="243" t="s">
        <v>87</v>
      </c>
      <c r="K50" s="258"/>
      <c r="L50" s="259" t="str">
        <f>UPPER(IF(OR(K50="a",K50="as"),J48,IF(OR(K50="b",K50="bs"),J52,)))</f>
        <v/>
      </c>
      <c r="M50" s="271">
        <f>IF(OR(K50="a",K50="as"),K48,IF(OR(K50="b",K50="bs"),K52,))</f>
        <v>0</v>
      </c>
      <c r="N50" s="229"/>
      <c r="O50" s="269"/>
      <c r="P50" s="229"/>
      <c r="Q50" s="269"/>
      <c r="R50" s="233"/>
      <c r="S50" s="299"/>
      <c r="T50" s="290"/>
      <c r="U50" s="291" t="str">
        <f>IF(OR(K50="a",K50="as"),U48,IF(OR(K50="b",K50="bs"),U52,""))</f>
        <v/>
      </c>
      <c r="V50" s="285">
        <v>6</v>
      </c>
      <c r="W50" s="285" t="str">
        <f>UPPER(IF($D$17="","",VLOOKUP($D$17,'[4]m glavni turnir žrebna lista'!$A$7:$R$38,3)))</f>
        <v>BATOR MITJA</v>
      </c>
      <c r="X50" s="285" t="str">
        <f>PROPER(IF($D$17="","",VLOOKUP($D$17,'[4]m glavni turnir žrebna lista'!$A$7:$R$38,4)))</f>
        <v/>
      </c>
      <c r="Y50" s="281" t="str">
        <f>IF(W50="","",IF($U$16&lt;&gt;$U$17,"",IF($J$17="bb",1,IF($J$17="","0",$I$15))))</f>
        <v/>
      </c>
      <c r="Z50" s="281" t="str">
        <f>IF($W$45="","",IF($U$18&lt;&gt;$U$17,"",IF($L$19="bb",1,IF($L$19="","0",$K$20))))</f>
        <v/>
      </c>
      <c r="AA50" s="281" t="str">
        <f>IF($W$45="","",IF($U$14&lt;&gt;$U$17,"",IF($N$15="bb",1,IF($N$15="","0",$M$10))))</f>
        <v/>
      </c>
      <c r="AB50" s="281" t="str">
        <f>IF($W$45="","",IF($U$22&lt;&gt;$U$17,"",IF($P$23="bb",1,IF($P$23="","0",$O$30))))</f>
        <v/>
      </c>
      <c r="AC50" s="281" t="str">
        <f>IF($W$45="","",IF($U$38&lt;&gt;$U$17,"",IF($P$39="bb",1,IF($P$39="","0",$Q$54))))</f>
        <v/>
      </c>
      <c r="AD50" s="281"/>
      <c r="AE50" s="292">
        <f t="shared" si="3"/>
        <v>0</v>
      </c>
      <c r="AF50" s="283">
        <f>IF($C17="","",'m glavni 55+'!$C$17)</f>
        <v>0</v>
      </c>
      <c r="AG50" s="285" t="str">
        <f>UPPER(IF($D$17="","",VLOOKUP($D$17,'[4]m glavni turnir žrebna lista'!$A$7:$R$38,3)))</f>
        <v>BATOR MITJA</v>
      </c>
      <c r="AH50" s="285" t="str">
        <f>PROPER(IF($D$17="","",VLOOKUP($D$17,'[4]m glavni turnir žrebna lista'!$A$7:$R$38,4)))</f>
        <v/>
      </c>
      <c r="AI50" s="285" t="str">
        <f>UPPER(IF($D$17="","",VLOOKUP($D$17,'[4]m glavni turnir žrebna lista'!$A$7:$R$38,5)))</f>
        <v/>
      </c>
      <c r="AJ50" s="292">
        <f t="shared" si="4"/>
        <v>0</v>
      </c>
    </row>
    <row r="51" spans="1:36" s="234" customFormat="1" ht="9.6" customHeight="1">
      <c r="A51" s="239">
        <v>23</v>
      </c>
      <c r="B51" s="251" t="str">
        <f>IF($D51="","",VLOOKUP($D51,'[4]m glavni turnir žrebna lista'!$A$7:$R$38,17))</f>
        <v/>
      </c>
      <c r="C51" s="251" t="str">
        <f>IF($D51="","",VLOOKUP($D51,'[4]m glavni turnir žrebna lista'!$A$7:$R$38,2))</f>
        <v/>
      </c>
      <c r="D51" s="225"/>
      <c r="E51" s="252" t="s">
        <v>3</v>
      </c>
      <c r="F51" s="252" t="str">
        <f>PROPER(IF($D51="","",VLOOKUP($D51,'[4]m glavni turnir žrebna lista'!$A$7:$R$38,4)))</f>
        <v/>
      </c>
      <c r="G51" s="252"/>
      <c r="H51" s="252" t="str">
        <f>IF($D51="","",VLOOKUP($D51,'[4]m glavni turnir žrebna lista'!$A$7:$R$38,5))</f>
        <v/>
      </c>
      <c r="I51" s="226" t="str">
        <f>IF($D51="","",VLOOKUP($D51,'[4]m glavni turnir žrebna lista'!$A$7:$R$38,14))</f>
        <v/>
      </c>
      <c r="J51" s="227"/>
      <c r="K51" s="264"/>
      <c r="L51" s="254"/>
      <c r="M51" s="262"/>
      <c r="N51" s="229"/>
      <c r="O51" s="269"/>
      <c r="P51" s="229"/>
      <c r="Q51" s="269"/>
      <c r="R51" s="233"/>
      <c r="S51" s="299"/>
      <c r="T51" s="290"/>
      <c r="U51" s="291" t="str">
        <f>IF($D51="","",VLOOKUP($D51,'[4]m glavni turnir žrebna lista'!$A$7:$R$38,2))</f>
        <v/>
      </c>
      <c r="V51" s="285">
        <v>7</v>
      </c>
      <c r="W51" s="285" t="str">
        <f>UPPER(IF($D$19="","",VLOOKUP($D$19,'[4]m glavni turnir žrebna lista'!$A$7:$R$38,3)))</f>
        <v/>
      </c>
      <c r="X51" s="285" t="str">
        <f>PROPER(IF($D$19="","",VLOOKUP($D$19,'[4]m glavni turnir žrebna lista'!$A$7:$R$38,4)))</f>
        <v/>
      </c>
      <c r="Y51" s="281" t="str">
        <f>IF(W51="","",IF($U$20&lt;&gt;$U$19,"",IF($J$21="bb",1,IF($J$21="","0",$I$21))))</f>
        <v/>
      </c>
      <c r="Z51" s="281" t="str">
        <f>IF($W$45="","",IF($U$18&lt;&gt;$U$19,"",IF($L$19="bb",1,IF($L$19="","0",$K$16))))</f>
        <v>0</v>
      </c>
      <c r="AA51" s="281" t="str">
        <f>IF($W$45="","",IF($U$14&lt;&gt;$U$19,"",IF($N$15="bb",1,IF($N$15="","0",$M$10))))</f>
        <v>0</v>
      </c>
      <c r="AB51" s="281" t="str">
        <f>IF($W$45="","",IF($U$22&lt;&gt;$U$19,"",IF($P$23="bb",1,IF($P$23="","0",$O$30))))</f>
        <v>0</v>
      </c>
      <c r="AC51" s="281" t="str">
        <f>IF($W$45="","",IF($U$38&lt;&gt;$U$19,"",IF($P$39="bb",1,IF($P$39="","0",$Q$54))))</f>
        <v>0</v>
      </c>
      <c r="AD51" s="281"/>
      <c r="AE51" s="292">
        <f t="shared" si="3"/>
        <v>0</v>
      </c>
      <c r="AF51" s="283" t="str">
        <f>IF($C19="","",'m glavni 55+'!$C$19)</f>
        <v/>
      </c>
      <c r="AG51" s="285" t="str">
        <f>UPPER(IF($D$19="","",VLOOKUP($D$19,'[4]m glavni turnir žrebna lista'!$A$7:$R$38,3)))</f>
        <v/>
      </c>
      <c r="AH51" s="285" t="str">
        <f>PROPER(IF($D$19="","",VLOOKUP($D$19,'[4]m glavni turnir žrebna lista'!$A$7:$R$38,4)))</f>
        <v/>
      </c>
      <c r="AI51" s="285" t="str">
        <f>UPPER(IF($D$19="","",VLOOKUP($D$19,'[4]m glavni turnir žrebna lista'!$A$7:$R$38,5)))</f>
        <v/>
      </c>
      <c r="AJ51" s="292">
        <f t="shared" si="4"/>
        <v>0</v>
      </c>
    </row>
    <row r="52" spans="1:36" s="234" customFormat="1" ht="9.6" customHeight="1">
      <c r="A52" s="239"/>
      <c r="B52" s="240"/>
      <c r="C52" s="240"/>
      <c r="D52" s="240"/>
      <c r="E52" s="241"/>
      <c r="F52" s="241"/>
      <c r="G52" s="242"/>
      <c r="H52" s="243" t="s">
        <v>87</v>
      </c>
      <c r="I52" s="244" t="s">
        <v>134</v>
      </c>
      <c r="J52" s="259" t="str">
        <f>UPPER(IF(OR(I52="a",I52="as"),E51,IF(OR(I52="b",I52="bs"),E53,)))</f>
        <v>KUNAVAR MILOŠ</v>
      </c>
      <c r="K52" s="266">
        <f>IF(OR(I52="a",I52="as"),I51,IF(OR(I52="b",I52="bs"),I53,))</f>
        <v>0</v>
      </c>
      <c r="L52" s="227"/>
      <c r="M52" s="262"/>
      <c r="N52" s="229"/>
      <c r="O52" s="269"/>
      <c r="P52" s="229"/>
      <c r="Q52" s="269"/>
      <c r="R52" s="233"/>
      <c r="S52" s="300"/>
      <c r="U52" s="301">
        <f>IF(OR(I52="a",I52="as"),C51,IF(OR(I52="b",I52="bs"),C53,""))</f>
        <v>0</v>
      </c>
      <c r="V52" s="285">
        <v>8</v>
      </c>
      <c r="W52" s="285" t="str">
        <f>UPPER(IF($D$21="","",VLOOKUP($D$21,'[4]m glavni turnir žrebna lista'!$A$7:$R$38,3)))</f>
        <v>PODGORNIK BRANKO</v>
      </c>
      <c r="X52" s="285" t="str">
        <f>PROPER(IF($D$21="","",VLOOKUP($D$21,'[4]m glavni turnir žrebna lista'!$A$7:$R$38,4)))</f>
        <v>8</v>
      </c>
      <c r="Y52" s="281" t="str">
        <f>IF(W52="","",IF($U$20&lt;&gt;$U$21,"",IF($J$21="bb",1,IF($J$21="","0",$I$19))))</f>
        <v/>
      </c>
      <c r="Z52" s="281" t="str">
        <f>IF($W$45="","",IF($U$18&lt;&gt;$U$21,"",IF($L$19="bb",1,IF($L$19="","0",$K$16))))</f>
        <v/>
      </c>
      <c r="AA52" s="281" t="str">
        <f>IF($W$45="","",IF($U$14&lt;&gt;$U$21,"",IF($N$15="bb",1,IF($N$15="","0",$M$10))))</f>
        <v/>
      </c>
      <c r="AB52" s="281" t="str">
        <f>IF($W$45="","",IF($U$22&lt;&gt;$U$21,"",IF($P$23="bb",1,IF($P$23="","0",$O$30))))</f>
        <v/>
      </c>
      <c r="AC52" s="281" t="str">
        <f>IF($W$45="","",IF($U$38&lt;&gt;$U$21,"",IF($P$39="bb",1,IF($P$39="","0",$Q$54))))</f>
        <v/>
      </c>
      <c r="AD52" s="281"/>
      <c r="AE52" s="292">
        <f t="shared" si="3"/>
        <v>0</v>
      </c>
      <c r="AF52" s="283">
        <f>IF($C21="","",'m glavni 55+'!$C$21)</f>
        <v>0</v>
      </c>
      <c r="AG52" s="285" t="str">
        <f>UPPER(IF($D$21="","",VLOOKUP($D$21,'[4]m glavni turnir žrebna lista'!$A$7:$R$38,3)))</f>
        <v>PODGORNIK BRANKO</v>
      </c>
      <c r="AH52" s="285" t="str">
        <f>PROPER(IF($D$21="","",VLOOKUP($D$21,'[4]m glavni turnir žrebna lista'!$A$7:$R$38,4)))</f>
        <v>8</v>
      </c>
      <c r="AI52" s="285" t="str">
        <f>UPPER(IF($D$21="","",VLOOKUP($D$21,'[4]m glavni turnir žrebna lista'!$A$7:$R$38,5)))</f>
        <v/>
      </c>
      <c r="AJ52" s="292">
        <f t="shared" si="4"/>
        <v>0</v>
      </c>
    </row>
    <row r="53" spans="1:36" s="234" customFormat="1" ht="9.6" customHeight="1">
      <c r="A53" s="223">
        <v>24</v>
      </c>
      <c r="B53" s="224">
        <f>IF($D53="","",VLOOKUP($D53,'[4]m glavni turnir žrebna lista'!$A$7:$R$38,17))</f>
        <v>0</v>
      </c>
      <c r="C53" s="224">
        <f>IF($D53="","",VLOOKUP($D53,'[4]m glavni turnir žrebna lista'!$A$7:$R$38,2))</f>
        <v>0</v>
      </c>
      <c r="D53" s="225">
        <v>4</v>
      </c>
      <c r="E53" s="224" t="str">
        <f>UPPER(IF($D53="","",VLOOKUP($D53,'[4]m glavni turnir žrebna lista'!$A$7:$R$38,3)))</f>
        <v>KUNAVAR MILOŠ</v>
      </c>
      <c r="F53" s="224" t="str">
        <f>PROPER(IF($D53="","",VLOOKUP($D53,'[4]m glavni turnir žrebna lista'!$A$7:$R$38,4)))</f>
        <v>4</v>
      </c>
      <c r="G53" s="224"/>
      <c r="H53" s="224">
        <f>IF($D53="","",VLOOKUP($D53,'[4]m glavni turnir žrebna lista'!$A$7:$R$38,5))</f>
        <v>0</v>
      </c>
      <c r="I53" s="253">
        <f>IF($D53="","",VLOOKUP($D53,'[4]m glavni turnir žrebna lista'!$A$7:$R$38,14))</f>
        <v>0</v>
      </c>
      <c r="J53" s="254"/>
      <c r="K53" s="228"/>
      <c r="L53" s="227"/>
      <c r="M53" s="262"/>
      <c r="N53" s="229"/>
      <c r="O53" s="269"/>
      <c r="P53" s="229"/>
      <c r="Q53" s="269"/>
      <c r="R53" s="233"/>
      <c r="S53" s="300"/>
      <c r="U53" s="180">
        <f>IF($D53="","",VLOOKUP($D53,'[4]m glavni turnir žrebna lista'!$A$7:$R$38,2))</f>
        <v>0</v>
      </c>
      <c r="V53" s="285">
        <v>9</v>
      </c>
      <c r="W53" s="285" t="str">
        <f>UPPER(IF($D$23="","",VLOOKUP($D$23,'[4]m glavni turnir žrebna lista'!$A$7:$R$38,3)))</f>
        <v>GUNA BRANKO</v>
      </c>
      <c r="X53" s="285" t="str">
        <f>PROPER(IF($D$23="","",VLOOKUP($D$23,'[4]m glavni turnir žrebna lista'!$A$7:$R$38,4)))</f>
        <v>3</v>
      </c>
      <c r="Y53" s="281" t="str">
        <f>IF(W53="","",IF($U$24&lt;&gt;$U$23,"",IF($J$25="bb",1,IF($J$25="","0",$I$25))))</f>
        <v>0</v>
      </c>
      <c r="Z53" s="281" t="str">
        <f>IF($W$45="","",IF($U$26&lt;&gt;$U$23,"",IF($L$27="bb",1,IF($L$27="","0",$K$28))))</f>
        <v/>
      </c>
      <c r="AA53" s="281" t="str">
        <f>IF($W$45="","",IF($U$30&lt;&gt;$U$23,"",IF($N$31="bb",1,IF($N$31="","0",$M$34))))</f>
        <v/>
      </c>
      <c r="AB53" s="281" t="str">
        <f>IF($W$45="","",IF($U$22&lt;&gt;$U$23,"",IF($P$23="bb",1,IF($P$23="","0",$O$14))))</f>
        <v/>
      </c>
      <c r="AC53" s="281" t="str">
        <f>IF($W$45="","",IF($U$38&lt;&gt;$U$23,"",IF($P$39="bb",1,IF($P$39="","0",$Q$54))))</f>
        <v/>
      </c>
      <c r="AD53" s="281"/>
      <c r="AE53" s="292">
        <f t="shared" si="3"/>
        <v>0</v>
      </c>
      <c r="AF53" s="283">
        <f>IF($C23="","",'m glavni 55+'!$C$23)</f>
        <v>0</v>
      </c>
      <c r="AG53" s="285" t="str">
        <f>UPPER(IF($D$23="","",VLOOKUP($D$23,'[4]m glavni turnir žrebna lista'!$A$7:$R$38,3)))</f>
        <v>GUNA BRANKO</v>
      </c>
      <c r="AH53" s="285" t="str">
        <f>PROPER(IF($D$23="","",VLOOKUP($D$23,'[4]m glavni turnir žrebna lista'!$A$7:$R$38,4)))</f>
        <v>3</v>
      </c>
      <c r="AI53" s="285" t="str">
        <f>UPPER(IF($D$23="","",VLOOKUP($D$23,'[4]m glavni turnir žrebna lista'!$A$7:$R$38,5)))</f>
        <v/>
      </c>
      <c r="AJ53" s="292">
        <f t="shared" si="4"/>
        <v>0</v>
      </c>
    </row>
    <row r="54" spans="1:36" s="234" customFormat="1" ht="9.6" customHeight="1">
      <c r="A54" s="239"/>
      <c r="B54" s="240"/>
      <c r="C54" s="240"/>
      <c r="D54" s="240"/>
      <c r="E54" s="268"/>
      <c r="F54" s="268"/>
      <c r="G54" s="273"/>
      <c r="H54" s="268"/>
      <c r="I54" s="257"/>
      <c r="J54" s="227"/>
      <c r="K54" s="228"/>
      <c r="L54" s="227"/>
      <c r="M54" s="262"/>
      <c r="N54" s="243" t="s">
        <v>87</v>
      </c>
      <c r="O54" s="258"/>
      <c r="P54" s="259" t="str">
        <f>UPPER(IF(OR(O54="a",O54="as"),N46,IF(OR(O54="b",O54="bs"),N62,)))</f>
        <v/>
      </c>
      <c r="Q54" s="276">
        <f>IF(OR(O54="a",O54="as"),O46,IF(OR(O54="b",O54="bs"),O62,))</f>
        <v>0</v>
      </c>
      <c r="R54" s="233"/>
      <c r="S54" s="300"/>
      <c r="U54" s="180" t="str">
        <f>IF(OR(O54="a",O54="as"),U46,IF(OR(O54="b",O54="bs"),U62,""))</f>
        <v/>
      </c>
      <c r="V54" s="285">
        <v>10</v>
      </c>
      <c r="W54" s="285" t="str">
        <f>UPPER(IF($D$25="","",VLOOKUP($D$25,'[4]m glavni turnir žrebna lista'!$A$7:$R$38,3)))</f>
        <v/>
      </c>
      <c r="X54" s="285" t="str">
        <f>PROPER(IF($D$25="","",VLOOKUP($D$25,'[4]m glavni turnir žrebna lista'!$A$7:$R$38,4)))</f>
        <v/>
      </c>
      <c r="Y54" s="281" t="str">
        <f>IF(W54="","",IF($U$24&lt;&gt;$U$25,"",IF($J$25="bb",1,IF($J$25="","0",$I$23))))</f>
        <v/>
      </c>
      <c r="Z54" s="281" t="str">
        <f>IF($W$45="","",IF($U$26&lt;&gt;$U$25,"",IF($L$27="bb",1,IF($L$27="","0",$K$28))))</f>
        <v>0</v>
      </c>
      <c r="AA54" s="281" t="str">
        <f>IF($W$45="","",IF($U$30&lt;&gt;$U$25,"",IF($N$31="bb",1,IF($N$31="","0",$M$34))))</f>
        <v>0</v>
      </c>
      <c r="AB54" s="281" t="str">
        <f>IF($W$45="","",IF($U$22&lt;&gt;$U$25,"",IF($P$23="bb",1,IF($P$23="","0",$O$14))))</f>
        <v>0</v>
      </c>
      <c r="AC54" s="281" t="str">
        <f>IF($W$45="","",IF($U$38&lt;&gt;$U$25,"",IF($P$39="bb",1,IF($P$39="","0",$Q$54))))</f>
        <v>0</v>
      </c>
      <c r="AD54" s="281"/>
      <c r="AE54" s="292">
        <f t="shared" si="3"/>
        <v>0</v>
      </c>
      <c r="AF54" s="283" t="str">
        <f>IF($C25="","",'m glavni 55+'!$C$25)</f>
        <v/>
      </c>
      <c r="AG54" s="285" t="str">
        <f>UPPER(IF($D$25="","",VLOOKUP($D$25,'[4]m glavni turnir žrebna lista'!$A$7:$R$38,3)))</f>
        <v/>
      </c>
      <c r="AH54" s="285" t="str">
        <f>PROPER(IF($D$25="","",VLOOKUP($D$25,'[4]m glavni turnir žrebna lista'!$A$7:$R$38,4)))</f>
        <v/>
      </c>
      <c r="AI54" s="285" t="str">
        <f>UPPER(IF($D$25="","",VLOOKUP($D$25,'[4]m glavni turnir žrebna lista'!$A$7:$R$38,5)))</f>
        <v/>
      </c>
      <c r="AJ54" s="292">
        <f t="shared" si="4"/>
        <v>0</v>
      </c>
    </row>
    <row r="55" spans="1:36" s="234" customFormat="1" ht="9.6" customHeight="1">
      <c r="A55" s="223">
        <v>25</v>
      </c>
      <c r="B55" s="224">
        <f>IF($D55="","",VLOOKUP($D55,'[4]m glavni turnir žrebna lista'!$A$7:$R$38,17))</f>
        <v>0</v>
      </c>
      <c r="C55" s="224">
        <f>IF($D55="","",VLOOKUP($D55,'[4]m glavni turnir žrebna lista'!$A$7:$R$38,2))</f>
        <v>0</v>
      </c>
      <c r="D55" s="225">
        <v>5</v>
      </c>
      <c r="E55" s="224" t="str">
        <f>UPPER(IF($D55="","",VLOOKUP($D55,'[4]m glavni turnir žrebna lista'!$A$7:$R$38,3)))</f>
        <v>STEFANOVIČ MIRAN</v>
      </c>
      <c r="F55" s="224" t="str">
        <f>PROPER(IF($D55="","",VLOOKUP($D55,'[4]m glavni turnir žrebna lista'!$A$7:$R$38,4)))</f>
        <v>5</v>
      </c>
      <c r="G55" s="224"/>
      <c r="H55" s="224">
        <f>IF($D55="","",VLOOKUP($D55,'[4]m glavni turnir žrebna lista'!$A$7:$R$38,5))</f>
        <v>0</v>
      </c>
      <c r="I55" s="226">
        <f>IF($D55="","",VLOOKUP($D55,'[4]m glavni turnir žrebna lista'!$A$7:$R$38,14))</f>
        <v>0</v>
      </c>
      <c r="J55" s="227"/>
      <c r="K55" s="228"/>
      <c r="L55" s="227"/>
      <c r="M55" s="262"/>
      <c r="N55" s="229"/>
      <c r="O55" s="269"/>
      <c r="P55" s="254"/>
      <c r="Q55" s="230"/>
      <c r="R55" s="233"/>
      <c r="S55" s="300"/>
      <c r="U55" s="180">
        <f>IF($D55="","",VLOOKUP($D55,'[4]m glavni turnir žrebna lista'!$A$7:$R$38,2))</f>
        <v>0</v>
      </c>
      <c r="V55" s="285">
        <v>11</v>
      </c>
      <c r="W55" s="285" t="str">
        <f>UPPER(IF($D$27="","",VLOOKUP($D$27,'[4]m glavni turnir žrebna lista'!$A$7:$R$38,3)))</f>
        <v>BURKELC SREČKO</v>
      </c>
      <c r="X55" s="285" t="str">
        <f>PROPER(IF($D$27="","",VLOOKUP($D$27,'[4]m glavni turnir žrebna lista'!$A$7:$R$38,4)))</f>
        <v/>
      </c>
      <c r="Y55" s="281" t="str">
        <f>IF(W55="","",IF($U$28&lt;&gt;$U$27,"",IF($J$29="bb",1,IF($J$29="","0",$I$29))))</f>
        <v/>
      </c>
      <c r="Z55" s="281" t="str">
        <f>IF($W$45="","",IF($U$26&lt;&gt;$U$27,"",IF($L$27="bb",1,IF($L$27="","0",$K$24))))</f>
        <v/>
      </c>
      <c r="AA55" s="281" t="str">
        <f>IF($W$45="","",IF($U$30&lt;&gt;$U$27,"",IF($N$31="bb",1,IF($N$31="","0",$M$34))))</f>
        <v/>
      </c>
      <c r="AB55" s="281" t="str">
        <f>IF($W$45="","",IF($U$22&lt;&gt;$U$27,"",IF($P$23="bb",1,IF($P$23="","0",$O$14))))</f>
        <v/>
      </c>
      <c r="AC55" s="281" t="str">
        <f>IF($W$45="","",IF($U$38&lt;&gt;$U$27,"",IF($P$39="bb",1,IF($P$39="","0",$Q$54))))</f>
        <v/>
      </c>
      <c r="AD55" s="281"/>
      <c r="AE55" s="292">
        <f t="shared" si="3"/>
        <v>0</v>
      </c>
      <c r="AF55" s="283">
        <f>IF($C27="","",'m glavni 55+'!$C$27)</f>
        <v>0</v>
      </c>
      <c r="AG55" s="285" t="str">
        <f>UPPER(IF($D$27="","",VLOOKUP($D$27,'[4]m glavni turnir žrebna lista'!$A$7:$R$38,3)))</f>
        <v>BURKELC SREČKO</v>
      </c>
      <c r="AH55" s="285" t="str">
        <f>PROPER(IF($D$27="","",VLOOKUP($D$27,'[4]m glavni turnir žrebna lista'!$A$7:$R$38,4)))</f>
        <v/>
      </c>
      <c r="AI55" s="285" t="str">
        <f>UPPER(IF($D$27="","",VLOOKUP($D$27,'[4]m glavni turnir žrebna lista'!$A$7:$R$38,5)))</f>
        <v/>
      </c>
      <c r="AJ55" s="292">
        <f t="shared" si="4"/>
        <v>0</v>
      </c>
    </row>
    <row r="56" spans="1:36" s="234" customFormat="1" ht="9.6" customHeight="1">
      <c r="A56" s="239"/>
      <c r="B56" s="240"/>
      <c r="C56" s="240"/>
      <c r="D56" s="240"/>
      <c r="E56" s="241"/>
      <c r="F56" s="241"/>
      <c r="G56" s="242"/>
      <c r="H56" s="243" t="s">
        <v>87</v>
      </c>
      <c r="I56" s="244" t="s">
        <v>135</v>
      </c>
      <c r="J56" s="259" t="str">
        <f>UPPER(IF(OR(I56="a",I56="as"),E55,IF(OR(I56="b",I56="bs"),E57,)))</f>
        <v>STEFANOVIČ MIRAN</v>
      </c>
      <c r="K56" s="246">
        <f>IF(OR(I56="a",I56="as"),I55,IF(OR(I56="b",I56="bs"),I57,))</f>
        <v>0</v>
      </c>
      <c r="L56" s="227"/>
      <c r="M56" s="262"/>
      <c r="N56" s="229"/>
      <c r="O56" s="269"/>
      <c r="P56" s="229"/>
      <c r="Q56" s="230"/>
      <c r="R56" s="233"/>
      <c r="S56" s="300"/>
      <c r="U56" s="180">
        <f>IF(OR(I56="a",I56="as"),C55,IF(OR(I56="b",I56="bs"),C57,""))</f>
        <v>0</v>
      </c>
      <c r="V56" s="285">
        <v>12</v>
      </c>
      <c r="W56" s="285" t="str">
        <f>UPPER(IF($D$29="","",VLOOKUP($D$29,'[4]m glavni turnir žrebna lista'!$A$7:$R$38,3)))</f>
        <v>JURIČIČ ALFREDO</v>
      </c>
      <c r="X56" s="285" t="str">
        <f>PROPER(IF($D$29="","",VLOOKUP($D$29,'[4]m glavni turnir žrebna lista'!$A$7:$R$38,4)))</f>
        <v/>
      </c>
      <c r="Y56" s="281" t="str">
        <f>IF(W56="","",IF($U$28&lt;&gt;$U$29,"",IF($J$29="bb",1,IF($J$29="","0",$I$27))))</f>
        <v/>
      </c>
      <c r="Z56" s="281" t="str">
        <f>IF($W$45="","",IF($U$26&lt;&gt;$U$29,"",IF($L$27="bb",1,IF($L$27="","0",$K$24))))</f>
        <v/>
      </c>
      <c r="AA56" s="281" t="str">
        <f>IF($W$45="","",IF($U$30&lt;&gt;$U$29,"",IF($N$31="bb",1,IF($N$31="","0",$M$34))))</f>
        <v/>
      </c>
      <c r="AB56" s="281" t="str">
        <f>IF($W$45="","",IF($U$22&lt;&gt;$U$29,"",IF($P$23="bb",1,IF($P$23="","0",$O$14))))</f>
        <v/>
      </c>
      <c r="AC56" s="281" t="str">
        <f>IF($W$45="","",IF($U$38&lt;&gt;$U$29,"",IF($P$39="bb",1,IF($P$39="","0",$Q$54))))</f>
        <v/>
      </c>
      <c r="AD56" s="281"/>
      <c r="AE56" s="292">
        <f t="shared" si="3"/>
        <v>0</v>
      </c>
      <c r="AF56" s="283">
        <f>IF($C29="","",'m glavni 55+'!$C$29)</f>
        <v>0</v>
      </c>
      <c r="AG56" s="285" t="str">
        <f>UPPER(IF($D$29="","",VLOOKUP($D$29,'[4]m glavni turnir žrebna lista'!$A$7:$R$38,3)))</f>
        <v>JURIČIČ ALFREDO</v>
      </c>
      <c r="AH56" s="285" t="str">
        <f>PROPER(IF($D$29="","",VLOOKUP($D$29,'[4]m glavni turnir žrebna lista'!$A$7:$R$38,4)))</f>
        <v/>
      </c>
      <c r="AI56" s="285" t="str">
        <f>UPPER(IF($D$29="","",VLOOKUP($D$29,'[4]m glavni turnir žrebna lista'!$A$7:$R$38,5)))</f>
        <v/>
      </c>
      <c r="AJ56" s="292">
        <f t="shared" si="4"/>
        <v>0</v>
      </c>
    </row>
    <row r="57" spans="1:36" s="234" customFormat="1" ht="9.6" customHeight="1">
      <c r="A57" s="239">
        <v>26</v>
      </c>
      <c r="B57" s="251" t="str">
        <f>IF($D57="","",VLOOKUP($D57,'[4]m glavni turnir žrebna lista'!$A$7:$R$38,17))</f>
        <v/>
      </c>
      <c r="C57" s="251" t="str">
        <f>IF($D57="","",VLOOKUP($D57,'[4]m glavni turnir žrebna lista'!$A$7:$R$38,2))</f>
        <v/>
      </c>
      <c r="D57" s="225"/>
      <c r="E57" s="252" t="s">
        <v>3</v>
      </c>
      <c r="F57" s="252" t="str">
        <f>PROPER(IF($D57="","",VLOOKUP($D57,'[4]m glavni turnir žrebna lista'!$A$7:$R$38,4)))</f>
        <v/>
      </c>
      <c r="G57" s="252"/>
      <c r="H57" s="252" t="str">
        <f>IF($D57="","",VLOOKUP($D57,'[4]m glavni turnir žrebna lista'!$A$7:$R$38,5))</f>
        <v/>
      </c>
      <c r="I57" s="253" t="s">
        <v>135</v>
      </c>
      <c r="J57" s="254"/>
      <c r="K57" s="255"/>
      <c r="L57" s="227"/>
      <c r="M57" s="229"/>
      <c r="O57" s="269"/>
      <c r="P57" s="229"/>
      <c r="Q57" s="230"/>
      <c r="R57" s="233"/>
      <c r="S57" s="300"/>
      <c r="U57" s="180" t="str">
        <f>IF($D57="","",VLOOKUP($D57,'[4]m glavni turnir žrebna lista'!$A$7:$R$38,2))</f>
        <v/>
      </c>
      <c r="V57" s="285">
        <v>13</v>
      </c>
      <c r="W57" s="285" t="str">
        <f>UPPER(IF($D$31="","",VLOOKUP($D$31,'[4]m glavni turnir žrebna lista'!$A$7:$R$38,3)))</f>
        <v/>
      </c>
      <c r="X57" s="285" t="str">
        <f>PROPER(IF($D$31="","",VLOOKUP($D$31,'[4]m glavni turnir žrebna lista'!$A$7:$R$38,4)))</f>
        <v/>
      </c>
      <c r="Y57" s="281" t="str">
        <f>IF(W57="","",IF($U$32&lt;&gt;$U$31,"",IF($J$33="bb",1,IF($J$33="","0",$I$33))))</f>
        <v/>
      </c>
      <c r="Z57" s="281" t="str">
        <f>IF($W$45="","",IF($U$34&lt;&gt;$U$31,"",IF($L$35="bb",1,IF($L$35="","0",$K$36))))</f>
        <v>0</v>
      </c>
      <c r="AA57" s="281" t="str">
        <f>IF($W$45="","",IF($U$30&lt;&gt;$U$31,"",IF($N$31="bb",1,IF($N$31="","0",$M$26))))</f>
        <v>0</v>
      </c>
      <c r="AB57" s="281" t="str">
        <f>IF($W$45="","",IF($U$22&lt;&gt;$U$31,"",IF($P$23="bb",1,IF($P$23="","0",$O$14))))</f>
        <v>0</v>
      </c>
      <c r="AC57" s="281" t="str">
        <f>IF($W$45="","",IF($U$38&lt;&gt;$U$31,"",IF($P$39="bb",1,IF($P$39="","0",$Q$54))))</f>
        <v>0</v>
      </c>
      <c r="AD57" s="281"/>
      <c r="AE57" s="292">
        <f t="shared" si="3"/>
        <v>0</v>
      </c>
      <c r="AF57" s="283" t="str">
        <f>IF($C31="","",'m glavni 55+'!$C$31)</f>
        <v/>
      </c>
      <c r="AG57" s="285" t="str">
        <f>UPPER(IF($D$31="","",VLOOKUP($D$31,'[4]m glavni turnir žrebna lista'!$A$7:$R$38,3)))</f>
        <v/>
      </c>
      <c r="AH57" s="285" t="str">
        <f>PROPER(IF($D$31="","",VLOOKUP($D$31,'[4]m glavni turnir žrebna lista'!$A$7:$R$38,4)))</f>
        <v/>
      </c>
      <c r="AI57" s="285" t="str">
        <f>UPPER(IF($D$31="","",VLOOKUP($D$31,'[4]m glavni turnir žrebna lista'!$A$7:$R$38,5)))</f>
        <v/>
      </c>
      <c r="AJ57" s="292">
        <f t="shared" si="4"/>
        <v>0</v>
      </c>
    </row>
    <row r="58" spans="1:36" s="234" customFormat="1" ht="9.6" customHeight="1">
      <c r="A58" s="239"/>
      <c r="B58" s="240"/>
      <c r="C58" s="240"/>
      <c r="D58" s="256"/>
      <c r="E58" s="241"/>
      <c r="F58" s="241"/>
      <c r="G58" s="242"/>
      <c r="H58" s="241"/>
      <c r="I58" s="257"/>
      <c r="J58" s="243" t="s">
        <v>87</v>
      </c>
      <c r="K58" s="258"/>
      <c r="L58" s="259" t="str">
        <f>UPPER(IF(OR(K58="a",K58="as"),J56,IF(OR(K58="b",K58="bs"),J60,)))</f>
        <v/>
      </c>
      <c r="M58" s="260">
        <f>IF(OR(K58="a",K58="as"),K56,IF(OR(K58="b",K58="bs"),K60,))</f>
        <v>0</v>
      </c>
      <c r="N58" s="229"/>
      <c r="O58" s="269"/>
      <c r="P58" s="229"/>
      <c r="Q58" s="230"/>
      <c r="R58" s="233"/>
      <c r="S58" s="300"/>
      <c r="U58" s="180" t="str">
        <f>IF(OR(K58="a",K58="as"),U56,IF(OR(K58="b",K58="bs"),U60,""))</f>
        <v/>
      </c>
      <c r="V58" s="285">
        <v>14</v>
      </c>
      <c r="W58" s="285" t="str">
        <f>UPPER(IF($D$33="","",VLOOKUP($D$33,'[4]m glavni turnir žrebna lista'!$A$7:$R$38,3)))</f>
        <v>ZOBEC TOMI</v>
      </c>
      <c r="X58" s="285" t="str">
        <f>PROPER(IF($D$33="","",VLOOKUP($D$33,'[4]m glavni turnir žrebna lista'!$A$7:$R$38,4)))</f>
        <v/>
      </c>
      <c r="Y58" s="281" t="str">
        <f>IF(W58="","",IF($U$32&lt;&gt;$U$33,"",IF($J$33="bb",1,IF($J$33="","0",$I$31))))</f>
        <v>0</v>
      </c>
      <c r="Z58" s="281" t="str">
        <f>IF($W$45="","",IF($U$34&lt;&gt;$U$33,"",IF($L$35="bb",1,IF($L$35="","0",$K$36))))</f>
        <v/>
      </c>
      <c r="AA58" s="281" t="str">
        <f>IF($W$45="","",IF($U$30&lt;&gt;$U$33,"",IF($N$31="bb",1,IF($N$31="","0",$M$26))))</f>
        <v/>
      </c>
      <c r="AB58" s="281" t="str">
        <f>IF($W$45="","",IF($U$22&lt;&gt;$U$33,"",IF($P$23="bb",1,IF($P$23="","0",$O$14))))</f>
        <v/>
      </c>
      <c r="AC58" s="281" t="str">
        <f>IF($W$45="","",IF($U$38&lt;&gt;$U$33,"",IF($P$39="bb",1,IF($P$39="","0",$Q$54))))</f>
        <v/>
      </c>
      <c r="AD58" s="281"/>
      <c r="AE58" s="292">
        <f t="shared" si="3"/>
        <v>0</v>
      </c>
      <c r="AF58" s="283">
        <f>IF($C33="","",'m glavni 55+'!$C$33)</f>
        <v>0</v>
      </c>
      <c r="AG58" s="285" t="str">
        <f>UPPER(IF($D$33="","",VLOOKUP($D$33,'[4]m glavni turnir žrebna lista'!$A$7:$R$38,3)))</f>
        <v>ZOBEC TOMI</v>
      </c>
      <c r="AH58" s="285" t="str">
        <f>PROPER(IF($D$33="","",VLOOKUP($D$33,'[4]m glavni turnir žrebna lista'!$A$7:$R$38,4)))</f>
        <v/>
      </c>
      <c r="AI58" s="285" t="str">
        <f>UPPER(IF($D$33="","",VLOOKUP($D$33,'[4]m glavni turnir žrebna lista'!$A$7:$R$38,5)))</f>
        <v/>
      </c>
      <c r="AJ58" s="292">
        <f t="shared" si="4"/>
        <v>0</v>
      </c>
    </row>
    <row r="59" spans="1:36" s="234" customFormat="1" ht="9.6" customHeight="1">
      <c r="A59" s="239">
        <v>27</v>
      </c>
      <c r="B59" s="251">
        <f>IF($D59="","",VLOOKUP($D59,'[4]m glavni turnir žrebna lista'!$A$7:$R$38,17))</f>
        <v>0</v>
      </c>
      <c r="C59" s="251">
        <f>IF($D59="","",VLOOKUP($D59,'[4]m glavni turnir žrebna lista'!$A$7:$R$38,2))</f>
        <v>0</v>
      </c>
      <c r="D59" s="225">
        <v>14</v>
      </c>
      <c r="E59" s="252" t="str">
        <f>UPPER(IF($D59="","",VLOOKUP($D59,'[4]m glavni turnir žrebna lista'!$A$7:$R$38,3)))</f>
        <v>KRUMPAK MILAN</v>
      </c>
      <c r="F59" s="252" t="str">
        <f>PROPER(IF($D59="","",VLOOKUP($D59,'[4]m glavni turnir žrebna lista'!$A$7:$R$38,4)))</f>
        <v/>
      </c>
      <c r="G59" s="252"/>
      <c r="H59" s="252">
        <f>IF($D59="","",VLOOKUP($D59,'[4]m glavni turnir žrebna lista'!$A$7:$R$38,5))</f>
        <v>0</v>
      </c>
      <c r="I59" s="226">
        <f>IF($D59="","",VLOOKUP($D59,'[4]m glavni turnir žrebna lista'!$A$7:$R$38,14))</f>
        <v>0</v>
      </c>
      <c r="J59" s="227"/>
      <c r="K59" s="264"/>
      <c r="L59" s="254"/>
      <c r="M59" s="265"/>
      <c r="N59" s="229"/>
      <c r="O59" s="269"/>
      <c r="P59" s="229"/>
      <c r="Q59" s="230"/>
      <c r="R59" s="302"/>
      <c r="S59" s="300"/>
      <c r="U59" s="180">
        <f>IF($D59="","",VLOOKUP($D59,'[4]m glavni turnir žrebna lista'!$A$7:$R$38,2))</f>
        <v>0</v>
      </c>
      <c r="V59" s="285">
        <v>15</v>
      </c>
      <c r="W59" s="285" t="str">
        <f>UPPER(IF($D$35="","",VLOOKUP($D$35,'[4]m glavni turnir žrebna lista'!$A$7:$R$38,3)))</f>
        <v/>
      </c>
      <c r="X59" s="285" t="str">
        <f>PROPER(IF($D$35="","",VLOOKUP($D$35,'[4]m glavni turnir žrebna lista'!$A$7:$R$38,4)))</f>
        <v/>
      </c>
      <c r="Y59" s="281" t="str">
        <f>IF(W59="","",IF($U$36&lt;&gt;$U$35,"",IF($J$37="bb",1,IF($J$37="","0",$I$37))))</f>
        <v/>
      </c>
      <c r="Z59" s="281" t="str">
        <f>IF($W$45="","",IF($U$34&lt;&gt;$U$35,"",IF($L$35="bb",1,IF($L$35="","0",$K$32))))</f>
        <v>0</v>
      </c>
      <c r="AA59" s="281" t="str">
        <f>IF($W$45="","",IF($U$30&lt;&gt;$U$35,"",IF($N$31="bb",1,IF($N$31="","0",$M$26))))</f>
        <v>0</v>
      </c>
      <c r="AB59" s="281" t="str">
        <f>IF($W$45="","",IF($U$22&lt;&gt;$U$35,"",IF($P$23="bb",1,IF($P$23="","0",$O$14))))</f>
        <v>0</v>
      </c>
      <c r="AC59" s="281" t="str">
        <f>IF($W$45="","",IF($U$38&lt;&gt;$U$35,"",IF($P$39="bb",1,IF($P$39="","0",$Q$54))))</f>
        <v>0</v>
      </c>
      <c r="AD59" s="281"/>
      <c r="AE59" s="292">
        <f t="shared" si="3"/>
        <v>0</v>
      </c>
      <c r="AF59" s="283" t="str">
        <f>IF($C35="","",'m glavni 55+'!$C$35)</f>
        <v/>
      </c>
      <c r="AG59" s="285" t="str">
        <f>UPPER(IF($D$35="","",VLOOKUP($D$35,'[4]m glavni turnir žrebna lista'!$A$7:$R$38,3)))</f>
        <v/>
      </c>
      <c r="AH59" s="285" t="str">
        <f>PROPER(IF($D$35="","",VLOOKUP($D$35,'[4]m glavni turnir žrebna lista'!$A$7:$R$38,4)))</f>
        <v/>
      </c>
      <c r="AI59" s="285" t="str">
        <f>UPPER(IF($D$35="","",VLOOKUP($D$35,'[4]m glavni turnir žrebna lista'!$A$7:$R$38,5)))</f>
        <v/>
      </c>
      <c r="AJ59" s="292">
        <f t="shared" si="4"/>
        <v>0</v>
      </c>
    </row>
    <row r="60" spans="1:36" s="234" customFormat="1" ht="9.6" customHeight="1">
      <c r="A60" s="239"/>
      <c r="B60" s="240"/>
      <c r="C60" s="240"/>
      <c r="D60" s="256"/>
      <c r="E60" s="241"/>
      <c r="F60" s="241"/>
      <c r="G60" s="242"/>
      <c r="H60" s="243" t="s">
        <v>87</v>
      </c>
      <c r="I60" s="244" t="s">
        <v>121</v>
      </c>
      <c r="J60" s="259" t="str">
        <f>UPPER(IF(OR(I60="a",I60="as"),E59,IF(OR(I60="b",I60="bs"),E61,)))</f>
        <v>KRUMPAK MILAN</v>
      </c>
      <c r="K60" s="266">
        <f>IF(OR(I60="a",I60="as"),I59,IF(OR(I60="b",I60="bs"),I61,))</f>
        <v>0</v>
      </c>
      <c r="L60" s="227"/>
      <c r="M60" s="265"/>
      <c r="N60" s="229"/>
      <c r="O60" s="269"/>
      <c r="P60" s="526"/>
      <c r="Q60" s="527"/>
      <c r="R60" s="233"/>
      <c r="S60" s="300"/>
      <c r="U60" s="180">
        <f>IF(OR(I60="a",I60="as"),C59,IF(OR(I60="b",I60="bs"),C61,""))</f>
        <v>0</v>
      </c>
      <c r="V60" s="285">
        <v>16</v>
      </c>
      <c r="W60" s="285" t="str">
        <f>UPPER(IF($D$37="","",VLOOKUP($D$37,'[4]m glavni turnir žrebna lista'!$A$7:$R$38,3)))</f>
        <v>FRECE MATJAŽ</v>
      </c>
      <c r="X60" s="285" t="str">
        <f>PROPER(IF($D$37="","",VLOOKUP($D$37,'[4]m glavni turnir žrebna lista'!$A$7:$R$38,4)))</f>
        <v>6</v>
      </c>
      <c r="Y60" s="281" t="str">
        <f>IF(W60="","",IF($U$36&lt;&gt;$U$37,"",IF($J$37="bb",1,IF($J$37="","0",$I$35))))</f>
        <v>0</v>
      </c>
      <c r="Z60" s="281" t="str">
        <f>IF($W$45="","",IF($U$34&lt;&gt;$U$37,"",IF($L$35="bb",1,IF($L$35="","0",$K$32))))</f>
        <v/>
      </c>
      <c r="AA60" s="281" t="str">
        <f>IF($W$45="","",IF($U$30&lt;&gt;$U$37,"",IF($N$31="bb",1,IF($N$31="","0",$M$26))))</f>
        <v/>
      </c>
      <c r="AB60" s="281" t="str">
        <f>IF($W$45="","",IF($U$22&lt;&gt;$U$37,"",IF($P$23="bb",1,IF($P$23="","0",$O$14))))</f>
        <v/>
      </c>
      <c r="AC60" s="281" t="str">
        <f>IF($W$45="","",IF($U$38&lt;&gt;$U$37,"",IF($P$39="bb",1,IF($P$39="","0",$Q$54))))</f>
        <v/>
      </c>
      <c r="AD60" s="281"/>
      <c r="AE60" s="292">
        <f t="shared" si="3"/>
        <v>0</v>
      </c>
      <c r="AF60" s="283">
        <f>IF($C37="","",'m glavni 55+'!$C$37)</f>
        <v>0</v>
      </c>
      <c r="AG60" s="285" t="str">
        <f>UPPER(IF($D$37="","",VLOOKUP($D$37,'[4]m glavni turnir žrebna lista'!$A$7:$R$38,3)))</f>
        <v>FRECE MATJAŽ</v>
      </c>
      <c r="AH60" s="285" t="str">
        <f>PROPER(IF($D$37="","",VLOOKUP($D$37,'[4]m glavni turnir žrebna lista'!$A$7:$R$38,4)))</f>
        <v>6</v>
      </c>
      <c r="AI60" s="285" t="str">
        <f>UPPER(IF($D$37="","",VLOOKUP($D$37,'[4]m glavni turnir žrebna lista'!$A$7:$R$38,5)))</f>
        <v/>
      </c>
      <c r="AJ60" s="292">
        <f t="shared" si="4"/>
        <v>0</v>
      </c>
    </row>
    <row r="61" spans="1:36" s="234" customFormat="1" ht="9.6" customHeight="1">
      <c r="A61" s="239">
        <v>28</v>
      </c>
      <c r="B61" s="251" t="str">
        <f>IF($D61="","",VLOOKUP($D61,'[4]m glavni turnir žrebna lista'!$A$7:$R$38,17))</f>
        <v/>
      </c>
      <c r="C61" s="251" t="str">
        <f>IF($D61="","",VLOOKUP($D61,'[4]m glavni turnir žrebna lista'!$A$7:$R$38,2))</f>
        <v/>
      </c>
      <c r="D61" s="225"/>
      <c r="E61" s="252" t="s">
        <v>3</v>
      </c>
      <c r="F61" s="252" t="str">
        <f>PROPER(IF($D61="","",VLOOKUP($D61,'[4]m glavni turnir žrebna lista'!$A$7:$R$38,4)))</f>
        <v/>
      </c>
      <c r="G61" s="252"/>
      <c r="H61" s="252" t="str">
        <f>IF($D61="","",VLOOKUP($D61,'[4]m glavni turnir žrebna lista'!$A$7:$R$38,5))</f>
        <v/>
      </c>
      <c r="I61" s="253" t="str">
        <f>IF($D61="","",VLOOKUP($D61,'[4]m glavni turnir žrebna lista'!$A$7:$R$38,14))</f>
        <v/>
      </c>
      <c r="J61" s="254"/>
      <c r="K61" s="228"/>
      <c r="L61" s="227"/>
      <c r="M61" s="265"/>
      <c r="N61" s="229"/>
      <c r="O61" s="303"/>
      <c r="P61" s="526" t="s">
        <v>97</v>
      </c>
      <c r="Q61" s="528"/>
      <c r="R61" s="233"/>
      <c r="S61" s="300"/>
      <c r="U61" s="180" t="str">
        <f>IF($D61="","",VLOOKUP($D61,'[4]m glavni turnir žrebna lista'!$A$7:$R$38,2))</f>
        <v/>
      </c>
      <c r="V61" s="285">
        <v>17</v>
      </c>
      <c r="W61" s="285" t="str">
        <f>UPPER(IF($D$39="","",VLOOKUP($D$39,'[4]m glavni turnir žrebna lista'!$A$7:$R$38,3)))</f>
        <v>DOLČIČ BRANE</v>
      </c>
      <c r="X61" s="285" t="str">
        <f>PROPER(IF($D$39="","",VLOOKUP($D$39,'[4]m glavni turnir žrebna lista'!$A$7:$R$38,4)))</f>
        <v>7</v>
      </c>
      <c r="Y61" s="281" t="str">
        <f>IF(W61="","",IF($U$40&lt;&gt;$U$39,"",IF($J$41="bb",1,IF($J$41="","0",$I$41))))</f>
        <v>0</v>
      </c>
      <c r="Z61" s="281" t="str">
        <f>IF($W$45="","",IF($U$42&lt;&gt;$U$39,"",IF($L$43="bb",1,IF($L$43="","0",$K$44))))</f>
        <v/>
      </c>
      <c r="AA61" s="281" t="str">
        <f>IF($W$45="","",IF($U$46&lt;&gt;$U$39,"",IF($N$47="bb",1,IF($N$47="","0",$M$50))))</f>
        <v/>
      </c>
      <c r="AB61" s="281" t="str">
        <f>IF($W$45="","",IF($U$54&lt;&gt;$U$39,"",IF($P$55="bb",1,IF($P$55="","0",$O$62))))</f>
        <v/>
      </c>
      <c r="AC61" s="281" t="str">
        <f>IF($W$45="","",IF($U$38&lt;&gt;$U$39,"",IF($P$39="bb",1,IF($P$39="","0",$Q$22))))</f>
        <v/>
      </c>
      <c r="AD61" s="281"/>
      <c r="AE61" s="292">
        <f t="shared" si="3"/>
        <v>0</v>
      </c>
      <c r="AF61" s="283">
        <f>IF($C39="","",'m glavni 55+'!$C$39)</f>
        <v>0</v>
      </c>
      <c r="AG61" s="285" t="str">
        <f>UPPER(IF($D$39="","",VLOOKUP($D$39,'[4]m glavni turnir žrebna lista'!$A$7:$R$38,3)))</f>
        <v>DOLČIČ BRANE</v>
      </c>
      <c r="AH61" s="285" t="str">
        <f>PROPER(IF($D$39="","",VLOOKUP($D$39,'[4]m glavni turnir žrebna lista'!$A$7:$R$38,4)))</f>
        <v>7</v>
      </c>
      <c r="AI61" s="285" t="str">
        <f>UPPER(IF($D$39="","",VLOOKUP($D$39,'[4]m glavni turnir žrebna lista'!$A$7:$R$38,5)))</f>
        <v/>
      </c>
      <c r="AJ61" s="292">
        <f t="shared" si="4"/>
        <v>0</v>
      </c>
    </row>
    <row r="62" spans="1:36" s="234" customFormat="1" ht="9.6" customHeight="1">
      <c r="A62" s="239"/>
      <c r="B62" s="240"/>
      <c r="C62" s="240"/>
      <c r="D62" s="256"/>
      <c r="E62" s="227"/>
      <c r="F62" s="227"/>
      <c r="G62" s="267"/>
      <c r="H62" s="268"/>
      <c r="I62" s="257"/>
      <c r="J62" s="227"/>
      <c r="K62" s="228"/>
      <c r="L62" s="243" t="s">
        <v>87</v>
      </c>
      <c r="M62" s="258"/>
      <c r="N62" s="259" t="str">
        <f>UPPER(IF(OR(M62="a",M62="as"),L58,IF(OR(M62="b",M62="bs"),L66,)))</f>
        <v/>
      </c>
      <c r="O62" s="297">
        <f>IF(OR(M62="a",M62="as"),M58,IF(OR(M62="b",M62="bs"),M66,))</f>
        <v>0</v>
      </c>
      <c r="P62" s="526"/>
      <c r="Q62" s="528"/>
      <c r="R62" s="304" t="str">
        <f>IF($R$63&gt;=310,1,IF($R$63&gt;=220,2,IF($R$63&gt;=10,3,"")))</f>
        <v/>
      </c>
      <c r="S62" s="300"/>
      <c r="U62" s="180" t="str">
        <f>IF(OR(M62="a",M62="as"),U58,IF(OR(M62="b",M62="bs"),U66,""))</f>
        <v/>
      </c>
      <c r="V62" s="285">
        <v>18</v>
      </c>
      <c r="W62" s="285" t="str">
        <f>UPPER(IF($D$41="","",VLOOKUP($D$41,'[4]m glavni turnir žrebna lista'!$A$7:$R$38,3)))</f>
        <v/>
      </c>
      <c r="X62" s="285" t="str">
        <f>PROPER(IF($D$41="","",VLOOKUP($D$41,'[4]m glavni turnir žrebna lista'!$A$7:$R$38,4)))</f>
        <v/>
      </c>
      <c r="Y62" s="281" t="str">
        <f>IF(W62="","",IF($U$40&lt;&gt;$U$41,"",IF($J$41="bb",1,IF($J$41="","0",$I$39))))</f>
        <v/>
      </c>
      <c r="Z62" s="281" t="str">
        <f>IF($W$45="","",IF($U$42&lt;&gt;$U$41,"",IF($L$43="bb",1,IF($L$43="","0",$K$44))))</f>
        <v>0</v>
      </c>
      <c r="AA62" s="281" t="str">
        <f>IF($W$45="","",IF($U$46&lt;&gt;$U$41,"",IF($N$47="bb",1,IF($N$47="","0",$M$50))))</f>
        <v>0</v>
      </c>
      <c r="AB62" s="281" t="str">
        <f>IF($W$45="","",IF($U$54&lt;&gt;$U$41,"",IF($P$55="bb",1,IF($P$55="","0",$O$62))))</f>
        <v>0</v>
      </c>
      <c r="AC62" s="281" t="str">
        <f>IF($W$45="","",IF($U$38&lt;&gt;$U$41,"",IF($P$39="bb",1,IF($P$39="","0",$Q$22))))</f>
        <v>0</v>
      </c>
      <c r="AD62" s="281"/>
      <c r="AE62" s="292">
        <f t="shared" si="3"/>
        <v>0</v>
      </c>
      <c r="AF62" s="283" t="str">
        <f>IF($C41="","",'m glavni 55+'!$C$41)</f>
        <v/>
      </c>
      <c r="AG62" s="285" t="str">
        <f>UPPER(IF($D$41="","",VLOOKUP($D$41,'[4]m glavni turnir žrebna lista'!$A$7:$R$38,3)))</f>
        <v/>
      </c>
      <c r="AH62" s="285" t="str">
        <f>PROPER(IF($D$41="","",VLOOKUP($D$41,'[4]m glavni turnir žrebna lista'!$A$7:$R$38,4)))</f>
        <v/>
      </c>
      <c r="AI62" s="285" t="str">
        <f>UPPER(IF($D$41="","",VLOOKUP($D$41,'[4]m glavni turnir žrebna lista'!$A$7:$R$38,5)))</f>
        <v/>
      </c>
      <c r="AJ62" s="292">
        <f t="shared" si="4"/>
        <v>0</v>
      </c>
    </row>
    <row r="63" spans="1:36" s="234" customFormat="1" ht="9.6" customHeight="1">
      <c r="A63" s="239">
        <v>29</v>
      </c>
      <c r="B63" s="251">
        <f>IF($D63="","",VLOOKUP($D63,'[4]m glavni turnir žrebna lista'!$A$7:$R$38,17))</f>
        <v>0</v>
      </c>
      <c r="C63" s="251">
        <f>IF($D63="","",VLOOKUP($D63,'[4]m glavni turnir žrebna lista'!$A$7:$R$38,2))</f>
        <v>0</v>
      </c>
      <c r="D63" s="225">
        <v>16</v>
      </c>
      <c r="E63" s="252" t="str">
        <f>UPPER(IF($D63="","",VLOOKUP($D63,'[4]m glavni turnir žrebna lista'!$A$7:$R$38,3)))</f>
        <v>MESTEK LAN</v>
      </c>
      <c r="F63" s="252" t="str">
        <f>PROPER(IF($D63="","",VLOOKUP($D63,'[4]m glavni turnir žrebna lista'!$A$7:$R$38,4)))</f>
        <v/>
      </c>
      <c r="G63" s="252"/>
      <c r="H63" s="252">
        <f>IF($D63="","",VLOOKUP($D63,'[4]m glavni turnir žrebna lista'!$A$7:$R$38,5))</f>
        <v>0</v>
      </c>
      <c r="I63" s="226">
        <f>IF($D63="","",VLOOKUP($D63,'[4]m glavni turnir žrebna lista'!$A$7:$R$38,14))</f>
        <v>0</v>
      </c>
      <c r="J63" s="227"/>
      <c r="K63" s="228"/>
      <c r="L63" s="227"/>
      <c r="M63" s="265"/>
      <c r="N63" s="254"/>
      <c r="O63" s="262"/>
      <c r="P63" s="305" t="s">
        <v>98</v>
      </c>
      <c r="Q63" s="306">
        <f>MIN(J4,R62)</f>
        <v>0</v>
      </c>
      <c r="R63" s="304">
        <f>SUM(LARGE(H72:H79,{1}),LARGE(H72:H79,{2}),LARGE(H72:H79,{3}),LARGE(H72:H79,{4}))</f>
        <v>0</v>
      </c>
      <c r="S63" s="300"/>
      <c r="U63" s="180">
        <f>IF($D63="","",VLOOKUP($D63,'[4]m glavni turnir žrebna lista'!$A$7:$R$38,2))</f>
        <v>0</v>
      </c>
      <c r="V63" s="285">
        <v>19</v>
      </c>
      <c r="W63" s="285" t="str">
        <f>UPPER(IF($D$43="","",VLOOKUP($D$43,'[4]m glavni turnir žrebna lista'!$A$7:$R$38,3)))</f>
        <v>PERGAR ANDREJ</v>
      </c>
      <c r="X63" s="285" t="str">
        <f>PROPER(IF($D$43="","",VLOOKUP($D$43,'[4]m glavni turnir žrebna lista'!$A$7:$R$38,4)))</f>
        <v/>
      </c>
      <c r="Y63" s="281" t="str">
        <f>IF(W63="","",IF($U$44&lt;&gt;$U$43,"",IF($J$45="bb",1,IF($J$45="","0",$I$45))))</f>
        <v/>
      </c>
      <c r="Z63" s="281" t="str">
        <f>IF($W$45="","",IF($U$42&lt;&gt;$U$43,"",IF($L$43="bb",1,IF($L$43="","0",$K$40))))</f>
        <v/>
      </c>
      <c r="AA63" s="281" t="str">
        <f>IF($W$45="","",IF($U$46&lt;&gt;$U$43,"",IF($N$47="bb",1,IF($N$47="","0",$M$50))))</f>
        <v/>
      </c>
      <c r="AB63" s="281" t="str">
        <f>IF($W$45="","",IF($U$54&lt;&gt;$U$43,"",IF($P$55="bb",1,IF($P$55="","0",$O$62))))</f>
        <v/>
      </c>
      <c r="AC63" s="281" t="str">
        <f>IF($W$45="","",IF($U$38&lt;&gt;$U$43,"",IF($P$39="bb",1,IF($P$39="","0",$Q$22))))</f>
        <v/>
      </c>
      <c r="AD63" s="281"/>
      <c r="AE63" s="292">
        <f t="shared" si="3"/>
        <v>0</v>
      </c>
      <c r="AF63" s="283">
        <f>IF($C43="","",'m glavni 55+'!$C$43)</f>
        <v>0</v>
      </c>
      <c r="AG63" s="285" t="str">
        <f>UPPER(IF($D$43="","",VLOOKUP($D$43,'[4]m glavni turnir žrebna lista'!$A$7:$R$38,3)))</f>
        <v>PERGAR ANDREJ</v>
      </c>
      <c r="AH63" s="285" t="str">
        <f>PROPER(IF($D$43="","",VLOOKUP($D$43,'[4]m glavni turnir žrebna lista'!$A$7:$R$38,4)))</f>
        <v/>
      </c>
      <c r="AI63" s="285" t="str">
        <f>UPPER(IF($D$43="","",VLOOKUP($D$43,'[4]m glavni turnir žrebna lista'!$A$7:$R$38,5)))</f>
        <v/>
      </c>
      <c r="AJ63" s="292">
        <f t="shared" si="4"/>
        <v>0</v>
      </c>
    </row>
    <row r="64" spans="1:36" s="234" customFormat="1" ht="9.6" customHeight="1">
      <c r="A64" s="239"/>
      <c r="B64" s="240"/>
      <c r="C64" s="240"/>
      <c r="D64" s="256"/>
      <c r="E64" s="241"/>
      <c r="F64" s="241"/>
      <c r="G64" s="242"/>
      <c r="H64" s="243" t="s">
        <v>87</v>
      </c>
      <c r="I64" s="244" t="s">
        <v>121</v>
      </c>
      <c r="J64" s="259" t="str">
        <f>UPPER(IF(OR(I64="a",I64="as"),E63,IF(OR(I64="b",I64="bs"),E65,)))</f>
        <v>MESTEK LAN</v>
      </c>
      <c r="K64" s="246">
        <f>IF(OR(I64="a",I64="as"),I63,IF(OR(I64="b",I64="bs"),I65,))</f>
        <v>0</v>
      </c>
      <c r="L64" s="227"/>
      <c r="M64" s="265"/>
      <c r="N64" s="261"/>
      <c r="O64" s="262"/>
      <c r="P64" s="307" t="s">
        <v>99</v>
      </c>
      <c r="Q64" s="308" t="str">
        <f>IF($C$2="B turnir",16,IF($Q$63=1,480,IF($Q$63=2,240,IF($Q$63=3,160,""))))</f>
        <v/>
      </c>
      <c r="R64" s="233"/>
      <c r="S64" s="300"/>
      <c r="U64" s="180">
        <f>IF(OR(I64="a",I64="as"),C63,IF(OR(I64="b",I64="bs"),C65,""))</f>
        <v>0</v>
      </c>
      <c r="V64" s="285">
        <v>20</v>
      </c>
      <c r="W64" s="285" t="str">
        <f>UPPER(IF($D$45="","",VLOOKUP($D$45,'[4]m glavni turnir žrebna lista'!$A$7:$R$38,3)))</f>
        <v>GLAVIČ BOJAN</v>
      </c>
      <c r="X64" s="285" t="str">
        <f>PROPER(IF($D$45="","",VLOOKUP($D$45,'[4]m glavni turnir žrebna lista'!$A$7:$R$38,4)))</f>
        <v/>
      </c>
      <c r="Y64" s="281" t="str">
        <f>IF(W64="","",IF($U$44&lt;&gt;$U$45,"",IF($J$45="bb",1,IF($J$45="","0",$I$43))))</f>
        <v/>
      </c>
      <c r="Z64" s="281" t="str">
        <f>IF($W$45="","",IF($U$42&lt;&gt;$U$45,"",IF($L$43="bb",1,IF($L$43="","0",$K$40))))</f>
        <v/>
      </c>
      <c r="AA64" s="281" t="str">
        <f>IF($W$45="","",IF($U$46&lt;&gt;$U$45,"",IF($N$47="bb",1,IF($N$47="","0",$M$50))))</f>
        <v/>
      </c>
      <c r="AB64" s="281" t="str">
        <f>IF($W$45="","",IF($U$54&lt;&gt;$U$45,"",IF($P$55="bb",1,IF($P$55="","0",$O$62))))</f>
        <v/>
      </c>
      <c r="AC64" s="281" t="str">
        <f>IF($W$45="","",IF($U$38&lt;&gt;$U$45,"",IF($P$39="bb",1,IF($P$39="","0",$Q$22))))</f>
        <v/>
      </c>
      <c r="AD64" s="281"/>
      <c r="AE64" s="292">
        <f t="shared" si="3"/>
        <v>0</v>
      </c>
      <c r="AF64" s="283">
        <f>IF($C45="","",'m glavni 55+'!$C$45)</f>
        <v>0</v>
      </c>
      <c r="AG64" s="285" t="str">
        <f>UPPER(IF($D$45="","",VLOOKUP($D$45,'[4]m glavni turnir žrebna lista'!$A$7:$R$38,3)))</f>
        <v>GLAVIČ BOJAN</v>
      </c>
      <c r="AH64" s="285" t="str">
        <f>PROPER(IF($D$45="","",VLOOKUP($D$45,'[4]m glavni turnir žrebna lista'!$A$7:$R$38,4)))</f>
        <v/>
      </c>
      <c r="AI64" s="285" t="str">
        <f>UPPER(IF($D$45="","",VLOOKUP($D$45,'[4]m glavni turnir žrebna lista'!$A$7:$R$38,5)))</f>
        <v/>
      </c>
      <c r="AJ64" s="292">
        <f t="shared" si="4"/>
        <v>0</v>
      </c>
    </row>
    <row r="65" spans="1:36" s="234" customFormat="1" ht="9.6" customHeight="1">
      <c r="A65" s="239">
        <v>30</v>
      </c>
      <c r="B65" s="251" t="str">
        <f>IF($D65="","",VLOOKUP($D65,'[4]m glavni turnir žrebna lista'!$A$7:$R$38,17))</f>
        <v/>
      </c>
      <c r="C65" s="251" t="str">
        <f>IF($D65="","",VLOOKUP($D65,'[4]m glavni turnir žrebna lista'!$A$7:$R$38,2))</f>
        <v/>
      </c>
      <c r="D65" s="225"/>
      <c r="E65" s="252" t="s">
        <v>3</v>
      </c>
      <c r="F65" s="252" t="str">
        <f>PROPER(IF($D65="","",VLOOKUP($D65,'[4]m glavni turnir žrebna lista'!$A$7:$R$38,4)))</f>
        <v/>
      </c>
      <c r="G65" s="252"/>
      <c r="H65" s="252" t="str">
        <f>IF($D65="","",VLOOKUP($D65,'[4]m glavni turnir žrebna lista'!$A$7:$R$38,5))</f>
        <v/>
      </c>
      <c r="I65" s="253" t="str">
        <f>IF($D65="","",VLOOKUP($D65,'[4]m glavni turnir žrebna lista'!$A$7:$R$38,14))</f>
        <v/>
      </c>
      <c r="J65" s="254"/>
      <c r="K65" s="255"/>
      <c r="L65" s="227"/>
      <c r="M65" s="265"/>
      <c r="N65" s="261"/>
      <c r="O65" s="262"/>
      <c r="P65" s="309" t="s">
        <v>100</v>
      </c>
      <c r="Q65" s="310" t="str">
        <f>IF($C$2="B turnir",12,IF($Q$63=1,360,IF($Q$63=2,180,IF($Q$63=3,120,""))))</f>
        <v/>
      </c>
      <c r="R65" s="233"/>
      <c r="S65" s="300"/>
      <c r="U65" s="180" t="str">
        <f>IF($D65="","",VLOOKUP($D65,'[4]m glavni turnir žrebna lista'!$A$7:$R$38,2))</f>
        <v/>
      </c>
      <c r="V65" s="285">
        <v>21</v>
      </c>
      <c r="W65" s="285" t="str">
        <f>UPPER(IF($D$47="","",VLOOKUP($D$47,'[4]m glavni turnir žrebna lista'!$A$7:$R$38,3)))</f>
        <v/>
      </c>
      <c r="X65" s="285" t="str">
        <f>PROPER(IF($D$47="","",VLOOKUP($D$47,'[4]m glavni turnir žrebna lista'!$A$7:$R$38,4)))</f>
        <v/>
      </c>
      <c r="Y65" s="281" t="str">
        <f>IF(W65="","",IF($U$48&lt;&gt;$U$47,"",IF($J$49="bb",1,IF($J$49="","0",$I$49))))</f>
        <v/>
      </c>
      <c r="Z65" s="281" t="str">
        <f>IF($W$45="","",IF($U$50&lt;&gt;$U$47,"",IF($L$51="bb",1,IF($L$51="","0",$K$52))))</f>
        <v>0</v>
      </c>
      <c r="AA65" s="281" t="str">
        <f>IF($W$45="","",IF($U$46&lt;&gt;$U$47,"",IF($N$47="bb",1,IF($N$47="","0",$M$42))))</f>
        <v>0</v>
      </c>
      <c r="AB65" s="281" t="str">
        <f>IF($W$45="","",IF($U$54&lt;&gt;$U$47,"",IF($P$55="bb",1,IF($P$55="","0",$O$62))))</f>
        <v>0</v>
      </c>
      <c r="AC65" s="281" t="str">
        <f>IF($W$45="","",IF($U$38&lt;&gt;$U$47,"",IF($P$39="bb",1,IF($P$39="","0",$Q$22))))</f>
        <v>0</v>
      </c>
      <c r="AD65" s="281"/>
      <c r="AE65" s="292">
        <f t="shared" si="3"/>
        <v>0</v>
      </c>
      <c r="AF65" s="283" t="str">
        <f>IF($C47="","",'m glavni 55+'!$C$47)</f>
        <v/>
      </c>
      <c r="AG65" s="285" t="str">
        <f>UPPER(IF($D$47="","",VLOOKUP($D$47,'[4]m glavni turnir žrebna lista'!$A$7:$R$38,3)))</f>
        <v/>
      </c>
      <c r="AH65" s="285" t="str">
        <f>PROPER(IF($D$47="","",VLOOKUP($D$47,'[4]m glavni turnir žrebna lista'!$A$7:$R$38,4)))</f>
        <v/>
      </c>
      <c r="AI65" s="285" t="str">
        <f>UPPER(IF($D$47="","",VLOOKUP($D$47,'[4]m glavni turnir žrebna lista'!$A$7:$R$38,5)))</f>
        <v/>
      </c>
      <c r="AJ65" s="292">
        <f t="shared" si="4"/>
        <v>0</v>
      </c>
    </row>
    <row r="66" spans="1:36" s="234" customFormat="1" ht="9.6" customHeight="1">
      <c r="A66" s="239"/>
      <c r="B66" s="240"/>
      <c r="C66" s="240"/>
      <c r="D66" s="256"/>
      <c r="E66" s="241"/>
      <c r="F66" s="241"/>
      <c r="G66" s="242"/>
      <c r="H66" s="227"/>
      <c r="I66" s="257"/>
      <c r="J66" s="243" t="s">
        <v>87</v>
      </c>
      <c r="K66" s="258"/>
      <c r="L66" s="259" t="str">
        <f>UPPER(IF(OR(K66="a",K66="as"),J64,IF(OR(K66="b",K66="bs"),J68,)))</f>
        <v/>
      </c>
      <c r="M66" s="271">
        <f>IF(OR(K66="a",K66="as"),K64,IF(OR(K66="b",K66="bs"),K68,))</f>
        <v>0</v>
      </c>
      <c r="N66" s="261"/>
      <c r="O66" s="262"/>
      <c r="P66" s="309" t="s">
        <v>101</v>
      </c>
      <c r="Q66" s="310" t="str">
        <f>IF($C$2="B turnir",8,IF($Q$63=1,240,IF($Q$63=2,120,IF($Q$63=3,80,""))))</f>
        <v/>
      </c>
      <c r="R66" s="233"/>
      <c r="S66" s="300"/>
      <c r="U66" s="180" t="str">
        <f>IF(OR(K66="a",K66="as"),U64,IF(OR(K66="b",K66="bs"),U68,""))</f>
        <v/>
      </c>
      <c r="V66" s="285">
        <v>22</v>
      </c>
      <c r="W66" s="285" t="str">
        <f>UPPER(IF($D$49="","",VLOOKUP($D$49,'[4]m glavni turnir žrebna lista'!$A$7:$R$38,3)))</f>
        <v>MESEC DEJAN</v>
      </c>
      <c r="X66" s="285" t="str">
        <f>PROPER(IF($D$49="","",VLOOKUP($D$49,'[4]m glavni turnir žrebna lista'!$A$7:$R$38,4)))</f>
        <v/>
      </c>
      <c r="Y66" s="281" t="str">
        <f>IF(W66="","",IF($U$48&lt;&gt;$U$49,"",IF($J$49="bb",1,IF($J$49="","0",$I$47))))</f>
        <v>0</v>
      </c>
      <c r="Z66" s="281" t="str">
        <f>IF($W$45="","",IF($U$50&lt;&gt;$U$49,"",IF($L$51="bb",1,IF($L$51="","0",$K$52))))</f>
        <v/>
      </c>
      <c r="AA66" s="281" t="str">
        <f>IF($W$45="","",IF($U$46&lt;&gt;$U$49,"",IF($N$47="bb",1,IF($N$47="","0",$M$42))))</f>
        <v/>
      </c>
      <c r="AB66" s="281" t="str">
        <f>IF($W$45="","",IF($U$54&lt;&gt;$U$49,"",IF($P$55="bb",1,IF($P$55="","0",$O$62))))</f>
        <v/>
      </c>
      <c r="AC66" s="281" t="str">
        <f>IF($W$45="","",IF($U$38&lt;&gt;$U$49,"",IF($P$39="bb",1,IF($P$39="","0",$Q$22))))</f>
        <v/>
      </c>
      <c r="AD66" s="281"/>
      <c r="AE66" s="292">
        <f t="shared" si="3"/>
        <v>0</v>
      </c>
      <c r="AF66" s="283">
        <f>IF($C49="","",'m glavni 55+'!$C$49)</f>
        <v>0</v>
      </c>
      <c r="AG66" s="285" t="str">
        <f>UPPER(IF($D$49="","",VLOOKUP($D$49,'[4]m glavni turnir žrebna lista'!$A$7:$R$38,3)))</f>
        <v>MESEC DEJAN</v>
      </c>
      <c r="AH66" s="285" t="str">
        <f>PROPER(IF($D$49="","",VLOOKUP($D$49,'[4]m glavni turnir žrebna lista'!$A$7:$R$38,4)))</f>
        <v/>
      </c>
      <c r="AI66" s="285" t="str">
        <f>UPPER(IF($D$49="","",VLOOKUP($D49,'[4]m glavni turnir žrebna lista'!$A$7:$R$38,5)))</f>
        <v/>
      </c>
      <c r="AJ66" s="292">
        <f t="shared" si="4"/>
        <v>0</v>
      </c>
    </row>
    <row r="67" spans="1:36" s="234" customFormat="1" ht="9.6" customHeight="1">
      <c r="A67" s="239">
        <v>31</v>
      </c>
      <c r="B67" s="251" t="str">
        <f>IF($D67="","",VLOOKUP($D67,'[4]m glavni turnir žrebna lista'!$A$7:$R$38,17))</f>
        <v/>
      </c>
      <c r="C67" s="251" t="str">
        <f>IF($D67="","",VLOOKUP($D67,'[4]m glavni turnir žrebna lista'!$A$7:$R$38,2))</f>
        <v/>
      </c>
      <c r="D67" s="225"/>
      <c r="E67" s="252" t="s">
        <v>3</v>
      </c>
      <c r="F67" s="252" t="str">
        <f>PROPER(IF($D67="","",VLOOKUP($D67,'[4]m glavni turnir žrebna lista'!$A$7:$R$38,4)))</f>
        <v/>
      </c>
      <c r="G67" s="252"/>
      <c r="H67" s="252" t="str">
        <f>IF($D67="","",VLOOKUP($D67,'[4]m glavni turnir žrebna lista'!$A$7:$R$38,5))</f>
        <v/>
      </c>
      <c r="I67" s="226" t="str">
        <f>IF($D67="","",VLOOKUP($D67,'[4]m glavni turnir žrebna lista'!$A$7:$R$38,14))</f>
        <v/>
      </c>
      <c r="J67" s="227"/>
      <c r="K67" s="264"/>
      <c r="L67" s="254"/>
      <c r="M67" s="262"/>
      <c r="N67" s="261"/>
      <c r="O67" s="262"/>
      <c r="P67" s="309" t="s">
        <v>102</v>
      </c>
      <c r="Q67" s="310" t="str">
        <f>IF($C$2="B turnir",4,IF($Q$63=1,120,IF($Q$63=2,60,IF($Q$63=3,40,""))))</f>
        <v/>
      </c>
      <c r="R67" s="233"/>
      <c r="S67" s="300"/>
      <c r="U67" s="180" t="str">
        <f>IF($D67="","",VLOOKUP($D67,'[4]m glavni turnir žrebna lista'!$A$7:$R$38,2))</f>
        <v/>
      </c>
      <c r="V67" s="285">
        <v>23</v>
      </c>
      <c r="W67" s="285" t="str">
        <f>UPPER(IF($D$51="","",VLOOKUP($D$51,'[4]m glavni turnir žrebna lista'!$A$7:$R$38,3)))</f>
        <v/>
      </c>
      <c r="X67" s="285" t="str">
        <f>PROPER(IF($D$51="","",VLOOKUP($D$51,'[4]m glavni turnir žrebna lista'!$A$7:$R$38,4)))</f>
        <v/>
      </c>
      <c r="Y67" s="281" t="str">
        <f>IF(W67="","",IF($U$52&lt;&gt;$U$51,"",IF($J$53="bb",1,IF($J$53="","0",$I$53))))</f>
        <v/>
      </c>
      <c r="Z67" s="281" t="str">
        <f>IF($W$45="","",IF($U$50&lt;&gt;$U$51,"",IF($L$51="bb",1,IF($L$51="","0",$K$48))))</f>
        <v>0</v>
      </c>
      <c r="AA67" s="281" t="str">
        <f>IF($W$45="","",IF($U$46&lt;&gt;$U$51,"",IF($N$47="bb",1,IF($N$47="","0",$M$42))))</f>
        <v>0</v>
      </c>
      <c r="AB67" s="281" t="str">
        <f>IF($W$45="","",IF($U$54&lt;&gt;$U$51,"",IF($P$55="bb",1,IF($P$55="","0",$O$62))))</f>
        <v>0</v>
      </c>
      <c r="AC67" s="281" t="str">
        <f>IF($W$45="","",IF($U$38&lt;&gt;$U$51,"",IF($P$39="bb",1,IF($P$39="","0",$Q$22))))</f>
        <v>0</v>
      </c>
      <c r="AD67" s="281"/>
      <c r="AE67" s="292">
        <f t="shared" si="3"/>
        <v>0</v>
      </c>
      <c r="AF67" s="283" t="str">
        <f>IF($C51="","",'m glavni 55+'!$C$51)</f>
        <v/>
      </c>
      <c r="AG67" s="285" t="str">
        <f>UPPER(IF($D$51="","",VLOOKUP($D$51,'[4]m glavni turnir žrebna lista'!$A$7:$R$38,3)))</f>
        <v/>
      </c>
      <c r="AH67" s="285" t="str">
        <f>PROPER(IF($D$51="","",VLOOKUP($D$51,'[4]m glavni turnir žrebna lista'!$A$7:$R$38,4)))</f>
        <v/>
      </c>
      <c r="AI67" s="285" t="str">
        <f>UPPER(IF($D$51="","",VLOOKUP($D$51,'[4]m glavni turnir žrebna lista'!$A$7:$R$38,5)))</f>
        <v/>
      </c>
      <c r="AJ67" s="292">
        <f t="shared" si="4"/>
        <v>0</v>
      </c>
    </row>
    <row r="68" spans="1:36" s="234" customFormat="1" ht="9.6" customHeight="1">
      <c r="A68" s="239"/>
      <c r="B68" s="240"/>
      <c r="C68" s="240"/>
      <c r="D68" s="240"/>
      <c r="E68" s="241"/>
      <c r="F68" s="241"/>
      <c r="G68" s="242"/>
      <c r="H68" s="243" t="s">
        <v>87</v>
      </c>
      <c r="I68" s="244" t="s">
        <v>134</v>
      </c>
      <c r="J68" s="259" t="str">
        <f>UPPER(IF(OR(I68="a",I68="as"),E67,IF(OR(I68="b",I68="bs"),E69,)))</f>
        <v>TANJŠEK ZMAGO</v>
      </c>
      <c r="K68" s="266">
        <f>IF(OR(I68="a",I68="as"),I67,IF(OR(I68="b",I68="bs"),I69,))</f>
        <v>0</v>
      </c>
      <c r="L68" s="227"/>
      <c r="M68" s="262"/>
      <c r="N68" s="261"/>
      <c r="O68" s="262"/>
      <c r="P68" s="309" t="s">
        <v>104</v>
      </c>
      <c r="Q68" s="310" t="str">
        <f>IF($C$2="B turnir",2,IF($Q$63=1,60,IF($Q$63=2,30,IF($Q$63=3,20,""))))</f>
        <v/>
      </c>
      <c r="R68" s="233"/>
      <c r="S68" s="300"/>
      <c r="U68" s="180">
        <f>IF(OR(I68="a",I68="as"),C67,IF(OR(I68="b",I68="bs"),C69,""))</f>
        <v>0</v>
      </c>
      <c r="V68" s="285">
        <v>24</v>
      </c>
      <c r="W68" s="285" t="str">
        <f>UPPER(IF($D$53="","",VLOOKUP($D$53,'[4]m glavni turnir žrebna lista'!$A$7:$R$38,3)))</f>
        <v>KUNAVAR MILOŠ</v>
      </c>
      <c r="X68" s="285" t="str">
        <f>PROPER(IF($D$53="","",VLOOKUP($D$53,'[4]m glavni turnir žrebna lista'!$A$7:$R$38,4)))</f>
        <v>4</v>
      </c>
      <c r="Y68" s="281" t="str">
        <f>IF(W68="","",IF($U$52&lt;&gt;$U$53,"",IF($J$53="bb",1,IF($J$53="","0",$I$51))))</f>
        <v>0</v>
      </c>
      <c r="Z68" s="281" t="str">
        <f>IF($W$45="","",IF($U$50&lt;&gt;$U$53,"",IF($L$51="bb",1,IF($L$51="","0",$K$48))))</f>
        <v/>
      </c>
      <c r="AA68" s="281" t="str">
        <f>IF($W$45="","",IF($U$46&lt;&gt;$U$53,"",IF($N$47="bb",1,IF($N$47="","0",$M$42))))</f>
        <v/>
      </c>
      <c r="AB68" s="281" t="str">
        <f>IF($W$45="","",IF($U$54&lt;&gt;$U$53,"",IF($P$55="bb",1,IF($P$55="","0",$O$62))))</f>
        <v/>
      </c>
      <c r="AC68" s="281" t="str">
        <f>IF($W$45="","",IF($U$38&lt;&gt;$U$53,"",IF($P$39="bb",1,IF($P$39="","0",$Q$22))))</f>
        <v/>
      </c>
      <c r="AD68" s="281"/>
      <c r="AE68" s="292">
        <f t="shared" si="3"/>
        <v>0</v>
      </c>
      <c r="AF68" s="283">
        <f>IF($C53="","",'m glavni 55+'!$C$53)</f>
        <v>0</v>
      </c>
      <c r="AG68" s="285" t="str">
        <f>UPPER(IF($D$53="","",VLOOKUP($D$53,'[4]m glavni turnir žrebna lista'!$A$7:$R$38,3)))</f>
        <v>KUNAVAR MILOŠ</v>
      </c>
      <c r="AH68" s="285" t="str">
        <f>PROPER(IF($D$53="","",VLOOKUP($D$53,'[4]m glavni turnir žrebna lista'!$A$7:$R$38,4)))</f>
        <v>4</v>
      </c>
      <c r="AI68" s="285" t="str">
        <f>UPPER(IF($D$53="","",VLOOKUP($D$53,'[4]m glavni turnir žrebna lista'!$A$7:$R$38,5)))</f>
        <v/>
      </c>
      <c r="AJ68" s="292">
        <f t="shared" si="4"/>
        <v>0</v>
      </c>
    </row>
    <row r="69" spans="1:36" s="234" customFormat="1" ht="9.6" customHeight="1">
      <c r="A69" s="223">
        <v>32</v>
      </c>
      <c r="B69" s="224">
        <f>IF($D69="","",VLOOKUP($D69,'[4]m glavni turnir žrebna lista'!$A$7:$R$38,17))</f>
        <v>0</v>
      </c>
      <c r="C69" s="224">
        <f>IF($D69="","",VLOOKUP($D69,'[4]m glavni turnir žrebna lista'!$A$7:$R$38,2))</f>
        <v>0</v>
      </c>
      <c r="D69" s="225">
        <v>2</v>
      </c>
      <c r="E69" s="224" t="str">
        <f>UPPER(IF($D69="","",VLOOKUP($D69,'[4]m glavni turnir žrebna lista'!$A$7:$R$38,3)))</f>
        <v>TANJŠEK ZMAGO</v>
      </c>
      <c r="F69" s="224" t="str">
        <f>PROPER(IF($D69="","",VLOOKUP($D69,'[4]m glavni turnir žrebna lista'!$A$7:$R$38,4)))</f>
        <v>2</v>
      </c>
      <c r="G69" s="224"/>
      <c r="H69" s="224">
        <f>IF($D69="","",VLOOKUP($D69,'[4]m glavni turnir žrebna lista'!$A$7:$R$38,5))</f>
        <v>0</v>
      </c>
      <c r="I69" s="253">
        <f>IF($D69="","",VLOOKUP($D69,'[4]m glavni turnir žrebna lista'!$A$7:$R$38,14))</f>
        <v>0</v>
      </c>
      <c r="J69" s="254"/>
      <c r="K69" s="228"/>
      <c r="L69" s="227"/>
      <c r="M69" s="228"/>
      <c r="N69" s="229"/>
      <c r="O69" s="230"/>
      <c r="P69" s="309" t="s">
        <v>105</v>
      </c>
      <c r="Q69" s="310" t="str">
        <f>IF($C$2="B turnir",1,IF($Q$63=1,30,IF($Q$63=2,15,IF($Q$63=3,10,""))))</f>
        <v/>
      </c>
      <c r="R69" s="233"/>
      <c r="U69" s="180">
        <f>IF($D69="","",VLOOKUP($D69,'[4]m glavni turnir žrebna lista'!$A$7:$R$38,2))</f>
        <v>0</v>
      </c>
      <c r="V69" s="285">
        <v>25</v>
      </c>
      <c r="W69" s="285" t="str">
        <f>UPPER(IF($D$55="","",VLOOKUP($D$55,'[4]m glavni turnir žrebna lista'!$A$7:$R$38,3)))</f>
        <v>STEFANOVIČ MIRAN</v>
      </c>
      <c r="X69" s="285" t="str">
        <f>PROPER(IF($D$55="","",VLOOKUP($D$55,'[4]m glavni turnir žrebna lista'!$A$7:$R$38,4)))</f>
        <v>5</v>
      </c>
      <c r="Y69" s="281" t="str">
        <f>IF(W69="","",IF($U$56&lt;&gt;$U$55,"",IF($J$57="bb",1,IF($J$57="","0",$I$57))))</f>
        <v>0</v>
      </c>
      <c r="Z69" s="281" t="str">
        <f>IF($W$45="","",IF($U$58&lt;&gt;$U$55,"",IF($L$59="bb",1,IF($L$59="","0",$K$60))))</f>
        <v/>
      </c>
      <c r="AA69" s="281" t="str">
        <f>IF($W$45="","",IF($U$62&lt;&gt;$U$55,"",IF($N$63="bb",1,IF($N$63="","0",$M$66))))</f>
        <v/>
      </c>
      <c r="AB69" s="281" t="str">
        <f>IF($W$45="","",IF($U$54&lt;&gt;$U$55,"",IF($P$55="bb",1,IF($P$55="","0",$O$46))))</f>
        <v/>
      </c>
      <c r="AC69" s="281" t="str">
        <f>IF($W$45="","",IF($U$38&lt;&gt;$U$55,"",IF($P$39="bb",1,IF($P$39="","0",$Q$22))))</f>
        <v/>
      </c>
      <c r="AD69" s="281"/>
      <c r="AE69" s="292">
        <f t="shared" si="3"/>
        <v>0</v>
      </c>
      <c r="AF69" s="283">
        <f>IF($C55="","",'m glavni 55+'!$C$55)</f>
        <v>0</v>
      </c>
      <c r="AG69" s="285" t="str">
        <f>UPPER(IF($D$55="","",VLOOKUP($D$55,'[4]m glavni turnir žrebna lista'!$A$7:$R$38,3)))</f>
        <v>STEFANOVIČ MIRAN</v>
      </c>
      <c r="AH69" s="285" t="str">
        <f>PROPER(IF($D$55="","",VLOOKUP($D$55,'[4]m glavni turnir žrebna lista'!$A$7:$R$38,4)))</f>
        <v>5</v>
      </c>
      <c r="AI69" s="285" t="str">
        <f>UPPER(IF($D$55="","",VLOOKUP($D$55,'[4]m glavni turnir žrebna lista'!$A$7:$R$38,5)))</f>
        <v/>
      </c>
      <c r="AJ69" s="292">
        <f t="shared" si="4"/>
        <v>0</v>
      </c>
    </row>
    <row r="70" spans="1:36" s="317" customFormat="1" ht="9" customHeight="1">
      <c r="A70" s="311"/>
      <c r="B70" s="311"/>
      <c r="C70" s="311"/>
      <c r="D70" s="311"/>
      <c r="E70" s="312"/>
      <c r="F70" s="312"/>
      <c r="G70" s="312"/>
      <c r="H70" s="312"/>
      <c r="I70" s="313"/>
      <c r="J70" s="314"/>
      <c r="K70" s="315"/>
      <c r="L70" s="314"/>
      <c r="M70" s="315"/>
      <c r="N70" s="314"/>
      <c r="O70" s="315"/>
      <c r="P70" s="314"/>
      <c r="Q70" s="315"/>
      <c r="R70" s="316"/>
      <c r="U70" s="180"/>
      <c r="V70" s="285">
        <v>26</v>
      </c>
      <c r="W70" s="285" t="str">
        <f>UPPER(IF($D$57="","",VLOOKUP($D$57,'[4]m glavni turnir žrebna lista'!$A$7:$R$38,3)))</f>
        <v/>
      </c>
      <c r="X70" s="285" t="str">
        <f>PROPER(IF($D$57="","",VLOOKUP($D$57,'[4]m glavni turnir žrebna lista'!$A$7:$R$38,4)))</f>
        <v/>
      </c>
      <c r="Y70" s="281" t="str">
        <f>IF(W70="","",IF($U$56&lt;&gt;$U$57,"",IF($J$57="bb",1,IF($J$57="","0",$I$55))))</f>
        <v/>
      </c>
      <c r="Z70" s="281" t="str">
        <f>IF($W$45="","",IF($U$58&lt;&gt;$U$57,"",IF($L$59="bb",1,IF($L$59="","0",$K$60))))</f>
        <v>0</v>
      </c>
      <c r="AA70" s="281" t="str">
        <f>IF($W$45="","",IF($U$62&lt;&gt;$U$57,"",IF($N$63="bb",1,IF($N$63="","0",$M$66))))</f>
        <v>0</v>
      </c>
      <c r="AB70" s="281" t="str">
        <f>IF($W$45="","",IF($U$54&lt;&gt;$U$57,"",IF($P$55="bb",1,IF($P$55="","0",$O$46))))</f>
        <v>0</v>
      </c>
      <c r="AC70" s="281" t="str">
        <f>IF($W$45="","",IF($U$38&lt;&gt;$U$57,"",IF($P$39="bb",1,IF($P$39="","0",$Q$22))))</f>
        <v>0</v>
      </c>
      <c r="AD70" s="281"/>
      <c r="AE70" s="292">
        <f t="shared" si="3"/>
        <v>0</v>
      </c>
      <c r="AF70" s="283" t="str">
        <f>IF($C57="","",'m glavni 55+'!$C$57)</f>
        <v/>
      </c>
      <c r="AG70" s="285" t="str">
        <f>UPPER(IF($D$57="","",VLOOKUP($D$57,'[4]m glavni turnir žrebna lista'!$A$7:$R$38,3)))</f>
        <v/>
      </c>
      <c r="AH70" s="285" t="str">
        <f>PROPER(IF($D$57="","",VLOOKUP($D$57,'[4]m glavni turnir žrebna lista'!$A$7:$R$38,4)))</f>
        <v/>
      </c>
      <c r="AI70" s="285" t="str">
        <f>UPPER(IF($D$57="","",VLOOKUP($D$57,'[4]m glavni turnir žrebna lista'!$A$7:$R$38,5)))</f>
        <v/>
      </c>
      <c r="AJ70" s="292">
        <f t="shared" si="4"/>
        <v>0</v>
      </c>
    </row>
    <row r="71" spans="1:36" s="330" customFormat="1" ht="9" customHeight="1">
      <c r="A71" s="318" t="s">
        <v>106</v>
      </c>
      <c r="B71" s="319"/>
      <c r="C71" s="320"/>
      <c r="D71" s="321" t="s">
        <v>107</v>
      </c>
      <c r="E71" s="322" t="s">
        <v>108</v>
      </c>
      <c r="F71" s="321"/>
      <c r="G71" s="321" t="s">
        <v>109</v>
      </c>
      <c r="H71" s="323" t="s">
        <v>110</v>
      </c>
      <c r="I71" s="324" t="s">
        <v>107</v>
      </c>
      <c r="J71" s="322" t="s">
        <v>111</v>
      </c>
      <c r="K71" s="325"/>
      <c r="L71" s="326" t="s">
        <v>112</v>
      </c>
      <c r="M71" s="327"/>
      <c r="N71" s="328" t="s">
        <v>113</v>
      </c>
      <c r="O71" s="329"/>
      <c r="P71" s="529"/>
      <c r="Q71" s="530"/>
      <c r="U71" s="180"/>
      <c r="V71" s="285">
        <v>27</v>
      </c>
      <c r="W71" s="285" t="str">
        <f>UPPER(IF($D$59="","",VLOOKUP($D$59,'[4]m glavni turnir žrebna lista'!$A$7:$R$38,3)))</f>
        <v>KRUMPAK MILAN</v>
      </c>
      <c r="X71" s="285" t="str">
        <f>PROPER(IF($D$59="","",VLOOKUP($D$59,'[4]m glavni turnir žrebna lista'!$A$7:$R$38,4)))</f>
        <v/>
      </c>
      <c r="Y71" s="281" t="str">
        <f>IF(W71="","",IF($U$60&lt;&gt;$U$59,"",IF($J$61="bb",1,IF($J$61="","0",$I$61))))</f>
        <v>0</v>
      </c>
      <c r="Z71" s="281" t="str">
        <f>IF($W$45="","",IF($U$58&lt;&gt;$U$59,"",IF($L$59="bb",1,IF($L$59="","0",$K$56))))</f>
        <v/>
      </c>
      <c r="AA71" s="281" t="str">
        <f>IF($W$45="","",IF($U$62&lt;&gt;$U$59,"",IF($N$63="bb",1,IF($N$63="","0",$M$66))))</f>
        <v/>
      </c>
      <c r="AB71" s="281" t="str">
        <f>IF($W$45="","",IF($U$54&lt;&gt;$U$59,"",IF($P$55="bb",1,IF($P$55="","0",$O$46))))</f>
        <v/>
      </c>
      <c r="AC71" s="281" t="str">
        <f>IF($W$45="","",IF($U$38&lt;&gt;$U$59,"",IF($P$39="bb",1,IF($P$39="","0",$Q$22))))</f>
        <v/>
      </c>
      <c r="AD71" s="281"/>
      <c r="AE71" s="292">
        <f t="shared" si="3"/>
        <v>0</v>
      </c>
      <c r="AF71" s="283">
        <f>IF($C59="","",'m glavni 55+'!$C$59)</f>
        <v>0</v>
      </c>
      <c r="AG71" s="285" t="str">
        <f>UPPER(IF($D$59="","",VLOOKUP($D$59,'[4]m glavni turnir žrebna lista'!$A$7:$R$38,3)))</f>
        <v>KRUMPAK MILAN</v>
      </c>
      <c r="AH71" s="285" t="str">
        <f>PROPER(IF($D$59="","",VLOOKUP($D$59,'[4]m glavni turnir žrebna lista'!$A$7:$R$38,4)))</f>
        <v/>
      </c>
      <c r="AI71" s="285" t="str">
        <f>UPPER(IF($D$59="","",VLOOKUP($D$59,'[4]m glavni turnir žrebna lista'!$A$7:$R$38,5)))</f>
        <v/>
      </c>
      <c r="AJ71" s="292">
        <f t="shared" si="4"/>
        <v>0</v>
      </c>
    </row>
    <row r="72" spans="1:36" s="330" customFormat="1" ht="9" customHeight="1">
      <c r="A72" s="331" t="s">
        <v>65</v>
      </c>
      <c r="B72" s="332"/>
      <c r="C72" s="333"/>
      <c r="D72" s="202">
        <v>1</v>
      </c>
      <c r="E72" s="334" t="str">
        <f>UPPER(IF($D72="","",VLOOKUP($D72,'[4]m glavni turnir žrebna lista'!$A$7:$R$38,3)))</f>
        <v>BELIŠ IVO</v>
      </c>
      <c r="F72" s="203"/>
      <c r="G72" s="335">
        <f>IF($D72="","",VLOOKUP($D72,'[4]m glavni turnir žrebna lista'!$A$7:$R$38,10))</f>
        <v>0</v>
      </c>
      <c r="H72" s="335">
        <f>IF($D72="","",VLOOKUP($D72,'[4]m glavni turnir žrebna lista'!$A$7:$R$38,14))</f>
        <v>0</v>
      </c>
      <c r="I72" s="336" t="s">
        <v>114</v>
      </c>
      <c r="J72" s="332"/>
      <c r="K72" s="206"/>
      <c r="L72" s="332"/>
      <c r="M72" s="337"/>
      <c r="N72" s="338" t="s">
        <v>115</v>
      </c>
      <c r="O72" s="339"/>
      <c r="P72" s="340"/>
      <c r="Q72" s="337"/>
      <c r="U72" s="180"/>
      <c r="V72" s="285">
        <v>28</v>
      </c>
      <c r="W72" s="285" t="str">
        <f>UPPER(IF($D$61="","",VLOOKUP($D$61,'[4]m glavni turnir žrebna lista'!$A$7:$R$38,3)))</f>
        <v/>
      </c>
      <c r="X72" s="285" t="str">
        <f>PROPER(IF($D$61="","",VLOOKUP($D$61,'[4]m glavni turnir žrebna lista'!$A$7:$R$38,4)))</f>
        <v/>
      </c>
      <c r="Y72" s="281" t="str">
        <f>IF(W72="","",IF($U$60&lt;&gt;$U$61,"",IF($J$61="bb",1,IF($J$61="","0",$I$59))))</f>
        <v/>
      </c>
      <c r="Z72" s="281" t="str">
        <f>IF($W$45="","",IF($U$58&lt;&gt;$U$61,"",IF($L$59="bb",1,IF($L$59="","0",$K$56))))</f>
        <v>0</v>
      </c>
      <c r="AA72" s="281" t="str">
        <f>IF($W$45="","",IF($U$62&lt;&gt;$U$61,"",IF($N$63="bb",1,IF($N$63="","0",$M$66))))</f>
        <v>0</v>
      </c>
      <c r="AB72" s="281" t="str">
        <f>IF($W$45="","",IF($U$54&lt;&gt;$U$61,"",IF($P$55="bb",1,IF($P$55="","0",$O$46))))</f>
        <v>0</v>
      </c>
      <c r="AC72" s="281" t="str">
        <f>IF($W$45="","",IF($U$38&lt;&gt;$U$61,"",IF($P$39="bb",1,IF($P$39="","0",$Q$22))))</f>
        <v>0</v>
      </c>
      <c r="AD72" s="281"/>
      <c r="AE72" s="292">
        <f t="shared" si="3"/>
        <v>0</v>
      </c>
      <c r="AF72" s="283" t="str">
        <f>IF($C61="","",'m glavni 55+'!$C$61)</f>
        <v/>
      </c>
      <c r="AG72" s="285" t="str">
        <f>UPPER(IF($D$61="","",VLOOKUP($D$61,'[4]m glavni turnir žrebna lista'!$A$7:$R$38,3)))</f>
        <v/>
      </c>
      <c r="AH72" s="285" t="str">
        <f>PROPER(IF($D$61="","",VLOOKUP($D$61,'[4]m glavni turnir žrebna lista'!$A$7:$R$38,4)))</f>
        <v/>
      </c>
      <c r="AI72" s="285" t="str">
        <f>UPPER(IF($D$61="","",VLOOKUP($D$61,'[4]m glavni turnir žrebna lista'!$A$7:$R$38,5)))</f>
        <v/>
      </c>
      <c r="AJ72" s="292">
        <f t="shared" si="4"/>
        <v>0</v>
      </c>
    </row>
    <row r="73" spans="1:36" s="330" customFormat="1" ht="9" customHeight="1">
      <c r="A73" s="518"/>
      <c r="B73" s="519"/>
      <c r="C73" s="341"/>
      <c r="D73" s="202">
        <v>2</v>
      </c>
      <c r="E73" s="334" t="str">
        <f>UPPER(IF($D73="","",VLOOKUP($D73,'[4]m glavni turnir žrebna lista'!$A$7:$R$38,3)))</f>
        <v>TANJŠEK ZMAGO</v>
      </c>
      <c r="F73" s="202"/>
      <c r="G73" s="335">
        <f>IF($D73="","",VLOOKUP($D73,'[4]m glavni turnir žrebna lista'!$A$7:$R$38,10))</f>
        <v>0</v>
      </c>
      <c r="H73" s="335">
        <f>IF($D73="","",VLOOKUP($D73,'[4]m glavni turnir žrebna lista'!$A$7:$R$38,14))</f>
        <v>0</v>
      </c>
      <c r="I73" s="342" t="s">
        <v>2</v>
      </c>
      <c r="J73" s="343"/>
      <c r="K73" s="206"/>
      <c r="L73" s="332"/>
      <c r="M73" s="337"/>
      <c r="N73" s="344"/>
      <c r="O73" s="345"/>
      <c r="P73" s="346"/>
      <c r="Q73" s="347"/>
      <c r="U73" s="180"/>
      <c r="V73" s="285">
        <v>29</v>
      </c>
      <c r="W73" s="285" t="str">
        <f>UPPER(IF($D$63="","",VLOOKUP($D$63,'[4]m glavni turnir žrebna lista'!$A$7:$R$38,3)))</f>
        <v>MESTEK LAN</v>
      </c>
      <c r="X73" s="285" t="str">
        <f>PROPER(IF($D$63="","",VLOOKUP($D$63,'[4]m glavni turnir žrebna lista'!$A$7:$R$38,4)))</f>
        <v/>
      </c>
      <c r="Y73" s="281" t="str">
        <f>IF(W73="","",IF($U$64&lt;&gt;$U$63,"",IF($J$65="bb",1,IF($J$65="","0",$I$65))))</f>
        <v>0</v>
      </c>
      <c r="Z73" s="281" t="str">
        <f>IF($W$45="","",IF($U$66&lt;&gt;$U$63,"",IF($L$67="bb",1,IF($L$67="","0",$K$68))))</f>
        <v/>
      </c>
      <c r="AA73" s="281" t="str">
        <f>IF($W$45="","",IF($U$62&lt;&gt;$U$63,"",IF($N$63="bb",1,IF($N$63="","0",$M$58))))</f>
        <v/>
      </c>
      <c r="AB73" s="281" t="str">
        <f>IF($W$45="","",IF($U$54&lt;&gt;$U$63,"",IF($P$55="bb",1,IF($P$55="","0",$O$46))))</f>
        <v/>
      </c>
      <c r="AC73" s="281" t="str">
        <f>IF($W$45="","",IF($U$38&lt;&gt;$U$63,"",IF($P$39="bb",1,IF($P$39="","0",$Q$22))))</f>
        <v/>
      </c>
      <c r="AD73" s="281"/>
      <c r="AE73" s="292">
        <f t="shared" si="3"/>
        <v>0</v>
      </c>
      <c r="AF73" s="283">
        <f>IF($C63="","",'m glavni 55+'!$C$63)</f>
        <v>0</v>
      </c>
      <c r="AG73" s="285" t="str">
        <f>UPPER(IF($D$63="","",VLOOKUP($D$63,'[4]m glavni turnir žrebna lista'!$A$7:$R$38,3)))</f>
        <v>MESTEK LAN</v>
      </c>
      <c r="AH73" s="285" t="str">
        <f>PROPER(IF($D$63="","",VLOOKUP($D$63,'[4]m glavni turnir žrebna lista'!$A$7:$R$38,4)))</f>
        <v/>
      </c>
      <c r="AI73" s="285" t="str">
        <f>UPPER(IF($D$63="","",VLOOKUP($D$63,'[4]m glavni turnir žrebna lista'!$A$7:$R$38,5)))</f>
        <v/>
      </c>
      <c r="AJ73" s="292">
        <f t="shared" si="4"/>
        <v>0</v>
      </c>
    </row>
    <row r="74" spans="1:36" s="330" customFormat="1" ht="9" customHeight="1">
      <c r="A74" s="348"/>
      <c r="B74" s="349"/>
      <c r="C74" s="350"/>
      <c r="D74" s="202">
        <v>3</v>
      </c>
      <c r="E74" s="334" t="str">
        <f>UPPER(IF($D74="","",VLOOKUP($D74,'[4]m glavni turnir žrebna lista'!$A$7:$R$38,3)))</f>
        <v>GUNA BRANKO</v>
      </c>
      <c r="F74" s="202"/>
      <c r="G74" s="335">
        <f>IF($D74="","",VLOOKUP($D74,'[4]m glavni turnir žrebna lista'!$A$7:$R$38,10))</f>
        <v>0</v>
      </c>
      <c r="H74" s="335">
        <f>IF($D74="","",VLOOKUP($D74,'[4]m glavni turnir žrebna lista'!$A$7:$R$38,14))</f>
        <v>0</v>
      </c>
      <c r="I74" s="342" t="s">
        <v>4</v>
      </c>
      <c r="J74" s="343"/>
      <c r="K74" s="206"/>
      <c r="L74" s="332"/>
      <c r="M74" s="337"/>
      <c r="N74" s="338" t="s">
        <v>116</v>
      </c>
      <c r="O74" s="339"/>
      <c r="P74" s="340"/>
      <c r="Q74" s="337"/>
      <c r="U74" s="180"/>
      <c r="V74" s="285">
        <v>30</v>
      </c>
      <c r="W74" s="285" t="str">
        <f>UPPER(IF($D$65="","",VLOOKUP($D$65,'[4]m glavni turnir žrebna lista'!$A$7:$R$38,3)))</f>
        <v/>
      </c>
      <c r="X74" s="285" t="str">
        <f>PROPER(IF($D$65="","",VLOOKUP($D$65,'[4]m glavni turnir žrebna lista'!$A$7:$R$38,4)))</f>
        <v/>
      </c>
      <c r="Y74" s="281" t="str">
        <f>IF(W74="","",IF($U$64&lt;&gt;$U$65,"",IF($J$65="bb",1,IF($J$65="","0",$I$63))))</f>
        <v/>
      </c>
      <c r="Z74" s="281" t="str">
        <f>IF($W$45="","",IF($U$66&lt;&gt;$U$65,"",IF($L$67="bb",1,IF($L$67="","0",$K$68))))</f>
        <v>0</v>
      </c>
      <c r="AA74" s="281" t="str">
        <f>IF($W$45="","",IF($U$62&lt;&gt;$U$65,"",IF($N$63="bb",1,IF($N$63="","0",$M$58))))</f>
        <v>0</v>
      </c>
      <c r="AB74" s="281" t="str">
        <f>IF($W$45="","",IF($U$54&lt;&gt;$U$65,"",IF($P$55="bb",1,IF($P$55="","0",$O$46))))</f>
        <v>0</v>
      </c>
      <c r="AC74" s="281" t="str">
        <f>IF($W$45="","",IF($U$38&lt;&gt;$U$65,"",IF($P$39="bb",1,IF($P$39="","0",$Q$22))))</f>
        <v>0</v>
      </c>
      <c r="AD74" s="281"/>
      <c r="AE74" s="292">
        <f t="shared" si="3"/>
        <v>0</v>
      </c>
      <c r="AF74" s="283" t="str">
        <f>IF($C65="","",'m glavni 55+'!$C$65)</f>
        <v/>
      </c>
      <c r="AG74" s="285" t="str">
        <f>UPPER(IF($D$65="","",VLOOKUP($D$65,'[4]m glavni turnir žrebna lista'!$A$7:$R$38,3)))</f>
        <v/>
      </c>
      <c r="AH74" s="285" t="str">
        <f>PROPER(IF($D$65="","",VLOOKUP($D$65,'[4]m glavni turnir žrebna lista'!$A$7:$R$38,4)))</f>
        <v/>
      </c>
      <c r="AI74" s="285" t="str">
        <f>UPPER(IF($D$65="","",VLOOKUP($D$65,'[4]m glavni turnir žrebna lista'!$A$7:$R$38,5)))</f>
        <v/>
      </c>
      <c r="AJ74" s="292">
        <f t="shared" si="4"/>
        <v>0</v>
      </c>
    </row>
    <row r="75" spans="1:36" s="330" customFormat="1" ht="9" customHeight="1">
      <c r="A75" s="351"/>
      <c r="B75" s="201"/>
      <c r="C75" s="333"/>
      <c r="D75" s="202">
        <v>4</v>
      </c>
      <c r="E75" s="334" t="str">
        <f>UPPER(IF($D75="","",VLOOKUP($D75,'[4]m glavni turnir žrebna lista'!$A$7:$R$38,3)))</f>
        <v>KUNAVAR MILOŠ</v>
      </c>
      <c r="F75" s="202"/>
      <c r="G75" s="335">
        <f>IF($D75="","",VLOOKUP($D75,'[4]m glavni turnir žrebna lista'!$A$7:$R$38,10))</f>
        <v>0</v>
      </c>
      <c r="H75" s="335">
        <f>IF($D75="","",VLOOKUP($D75,'[4]m glavni turnir žrebna lista'!$A$7:$R$38,14))</f>
        <v>0</v>
      </c>
      <c r="I75" s="342" t="s">
        <v>5</v>
      </c>
      <c r="J75" s="343"/>
      <c r="K75" s="206"/>
      <c r="L75" s="332"/>
      <c r="M75" s="337"/>
      <c r="N75" s="332" t="s">
        <v>117</v>
      </c>
      <c r="O75" s="206"/>
      <c r="P75" s="332"/>
      <c r="Q75" s="337"/>
      <c r="U75" s="180"/>
      <c r="V75" s="285">
        <v>31</v>
      </c>
      <c r="W75" s="285" t="str">
        <f>UPPER(IF($D$67="","",VLOOKUP($D$67,'[4]m glavni turnir žrebna lista'!$A$7:$R$38,3)))</f>
        <v/>
      </c>
      <c r="X75" s="285" t="str">
        <f>PROPER(IF($D$67="","",VLOOKUP($D$67,'[4]m glavni turnir žrebna lista'!$A$7:$R$38,4)))</f>
        <v/>
      </c>
      <c r="Y75" s="281" t="str">
        <f>IF(W75="","",IF($U$68&lt;&gt;$U$67,"",IF($J$69="bb",1,IF($J$69="","0",$I$69))))</f>
        <v/>
      </c>
      <c r="Z75" s="281" t="str">
        <f>IF($W$45="","",IF($U$66&lt;&gt;$U$67,"",IF($L$67="bb",1,IF($L$67="","0",$K$64))))</f>
        <v>0</v>
      </c>
      <c r="AA75" s="281" t="str">
        <f>IF($W$45="","",IF($U$62&lt;&gt;$U$67,"",IF($N$63="bb",1,IF($N$63="","0",$M$58))))</f>
        <v>0</v>
      </c>
      <c r="AB75" s="281" t="str">
        <f>IF($W$45="","",IF($U$54&lt;&gt;$U$67,"",IF($P$55="bb",1,IF($P$55="","0",$O$46))))</f>
        <v>0</v>
      </c>
      <c r="AC75" s="281" t="str">
        <f>IF($W$45="","",IF($U$38&lt;&gt;$U$67,"",IF($P$39="bb",1,IF($P$39="","0",$Q$22))))</f>
        <v>0</v>
      </c>
      <c r="AD75" s="281"/>
      <c r="AE75" s="292">
        <f t="shared" si="3"/>
        <v>0</v>
      </c>
      <c r="AF75" s="283" t="str">
        <f>IF($C67="","",'m glavni 55+'!$C$67)</f>
        <v/>
      </c>
      <c r="AG75" s="285" t="str">
        <f>UPPER(IF($D$67="","",VLOOKUP($D$67,'[4]m glavni turnir žrebna lista'!$A$7:$R$38,3)))</f>
        <v/>
      </c>
      <c r="AH75" s="285" t="str">
        <f>PROPER(IF($D$67="","",VLOOKUP($D$67,'[4]m glavni turnir žrebna lista'!$A$7:$R$38,4)))</f>
        <v/>
      </c>
      <c r="AI75" s="285" t="str">
        <f>UPPER(IF($D$67="","",VLOOKUP($D$67,'[4]m glavni turnir žrebna lista'!$A$7:$R$38,5)))</f>
        <v/>
      </c>
      <c r="AJ75" s="292">
        <f t="shared" si="4"/>
        <v>0</v>
      </c>
    </row>
    <row r="76" spans="1:36" s="330" customFormat="1" ht="9" customHeight="1">
      <c r="A76" s="352"/>
      <c r="B76" s="353"/>
      <c r="C76" s="354"/>
      <c r="D76" s="202">
        <v>5</v>
      </c>
      <c r="E76" s="334" t="str">
        <f>UPPER(IF($D76="","",VLOOKUP($D76,'[4]m glavni turnir žrebna lista'!$A$7:$R$38,3)))</f>
        <v>STEFANOVIČ MIRAN</v>
      </c>
      <c r="F76" s="202"/>
      <c r="G76" s="335">
        <f>IF($D76="","",VLOOKUP($D76,'[4]m glavni turnir žrebna lista'!$A$7:$R$38,10))</f>
        <v>0</v>
      </c>
      <c r="H76" s="335">
        <f>IF($D76="","",VLOOKUP($D76,'[4]m glavni turnir žrebna lista'!$A$7:$R$38,14))</f>
        <v>0</v>
      </c>
      <c r="I76" s="342" t="s">
        <v>6</v>
      </c>
      <c r="J76" s="343"/>
      <c r="K76" s="206"/>
      <c r="L76" s="332"/>
      <c r="M76" s="337"/>
      <c r="N76" s="346"/>
      <c r="O76" s="345"/>
      <c r="P76" s="346"/>
      <c r="Q76" s="347"/>
      <c r="U76" s="180"/>
      <c r="V76" s="285">
        <v>32</v>
      </c>
      <c r="W76" s="285" t="str">
        <f>UPPER(IF($D$69="","",VLOOKUP($D$69,'[4]m glavni turnir žrebna lista'!$A$7:$R$38,3)))</f>
        <v>TANJŠEK ZMAGO</v>
      </c>
      <c r="X76" s="285" t="str">
        <f>PROPER(IF($D$69="","",VLOOKUP($D$69,'[4]m glavni turnir žrebna lista'!$A$7:$R$38,4)))</f>
        <v>2</v>
      </c>
      <c r="Y76" s="281" t="str">
        <f>IF(W76="","",IF($U$68&lt;&gt;$U$69,"",IF($J$69="bb",1,IF($J$69="","0",$I$67))))</f>
        <v>0</v>
      </c>
      <c r="Z76" s="281" t="str">
        <f>IF($W$45="","",IF($U$66&lt;&gt;$U$69,"",IF($L$67="bb",1,IF($L$67="","0",$K$64))))</f>
        <v/>
      </c>
      <c r="AA76" s="281" t="str">
        <f>IF($W$45="","",IF($U$62&lt;&gt;$U$69,"",IF($N$63="bb",1,IF($N$63="","0",$M$58))))</f>
        <v/>
      </c>
      <c r="AB76" s="281" t="str">
        <f>IF($W$45="","",IF($U$54&lt;&gt;$U$69,"",IF($P$55="bb",1,IF($P$55="","0",$O$46))))</f>
        <v/>
      </c>
      <c r="AC76" s="281" t="str">
        <f>IF($W$45="","",IF($U$38&lt;&gt;$U$69,"",IF($P$39="bb",1,IF($P$39="","0",$Q$22))))</f>
        <v/>
      </c>
      <c r="AD76" s="281"/>
      <c r="AE76" s="292">
        <f t="shared" si="3"/>
        <v>0</v>
      </c>
      <c r="AF76" s="283">
        <f>IF($C69="","",'m glavni 55+'!$C$69)</f>
        <v>0</v>
      </c>
      <c r="AG76" s="285" t="str">
        <f>UPPER(IF($D$69="","",VLOOKUP($D$69,'[4]m glavni turnir žrebna lista'!$A$7:$R$38,3)))</f>
        <v>TANJŠEK ZMAGO</v>
      </c>
      <c r="AH76" s="285" t="str">
        <f>PROPER(IF($D$69="","",VLOOKUP($D$69,'[4]m glavni turnir žrebna lista'!$A$7:$R$38,4)))</f>
        <v>2</v>
      </c>
      <c r="AI76" s="285" t="str">
        <f>UPPER(IF($D$69="","",VLOOKUP($D$69,'[4]m glavni turnir žrebna lista'!$A$7:$R$38,5)))</f>
        <v/>
      </c>
      <c r="AJ76" s="292">
        <f t="shared" si="4"/>
        <v>0</v>
      </c>
    </row>
    <row r="77" spans="1:36" s="330" customFormat="1" ht="9" customHeight="1">
      <c r="A77" s="331"/>
      <c r="B77" s="332"/>
      <c r="C77" s="333"/>
      <c r="D77" s="202">
        <v>6</v>
      </c>
      <c r="E77" s="334" t="str">
        <f>UPPER(IF($D77="","",VLOOKUP($D77,'[4]m glavni turnir žrebna lista'!$A$7:$R$38,3)))</f>
        <v>FRECE MATJAŽ</v>
      </c>
      <c r="F77" s="202"/>
      <c r="G77" s="335">
        <f>IF($D77="","",VLOOKUP($D77,'[4]m glavni turnir žrebna lista'!$A$7:$R$38,10))</f>
        <v>0</v>
      </c>
      <c r="H77" s="335">
        <f>IF($D77="","",VLOOKUP($D77,'[4]m glavni turnir žrebna lista'!$A$7:$R$38,14))</f>
        <v>0</v>
      </c>
      <c r="I77" s="342" t="s">
        <v>7</v>
      </c>
      <c r="J77" s="343"/>
      <c r="K77" s="206"/>
      <c r="L77" s="332"/>
      <c r="M77" s="337"/>
      <c r="N77" s="338" t="s">
        <v>116</v>
      </c>
      <c r="O77" s="339"/>
      <c r="P77" s="340"/>
      <c r="Q77" s="337"/>
      <c r="U77" s="180"/>
      <c r="V77" s="355"/>
      <c r="W77" s="355"/>
      <c r="X77" s="355"/>
      <c r="Y77" s="281">
        <f>COUNTIF(Y45:Y76,"&gt;0")</f>
        <v>0</v>
      </c>
      <c r="Z77" s="281">
        <f aca="true" t="shared" si="5" ref="Z77:AE77">COUNTIF(Z45:Z76,"&gt;0")</f>
        <v>0</v>
      </c>
      <c r="AA77" s="281">
        <f t="shared" si="5"/>
        <v>0</v>
      </c>
      <c r="AB77" s="281">
        <f t="shared" si="5"/>
        <v>0</v>
      </c>
      <c r="AC77" s="281">
        <f t="shared" si="5"/>
        <v>0</v>
      </c>
      <c r="AD77" s="281"/>
      <c r="AE77" s="281">
        <f t="shared" si="5"/>
        <v>0</v>
      </c>
      <c r="AF77" s="283"/>
      <c r="AG77" s="355"/>
      <c r="AH77" s="355"/>
      <c r="AI77" s="355"/>
      <c r="AJ77" s="281">
        <f>COUNTIF(AJ45:AJ76,"&gt;0")</f>
        <v>0</v>
      </c>
    </row>
    <row r="78" spans="1:36" s="330" customFormat="1" ht="9" customHeight="1">
      <c r="A78" s="331"/>
      <c r="B78" s="332"/>
      <c r="C78" s="356"/>
      <c r="D78" s="202">
        <v>7</v>
      </c>
      <c r="E78" s="334" t="str">
        <f>UPPER(IF($D78="","",VLOOKUP($D78,'[4]m glavni turnir žrebna lista'!$A$7:$R$38,3)))</f>
        <v>DOLČIČ BRANE</v>
      </c>
      <c r="F78" s="202"/>
      <c r="G78" s="335">
        <f>IF($D78="","",VLOOKUP($D78,'[4]m glavni turnir žrebna lista'!$A$7:$R$38,10))</f>
        <v>0</v>
      </c>
      <c r="H78" s="335">
        <f>IF($D78="","",VLOOKUP($D78,'[4]m glavni turnir žrebna lista'!$A$7:$R$38,14))</f>
        <v>0</v>
      </c>
      <c r="I78" s="342" t="s">
        <v>8</v>
      </c>
      <c r="J78" s="343"/>
      <c r="K78" s="206"/>
      <c r="L78" s="332"/>
      <c r="M78" s="337"/>
      <c r="N78" s="332" t="s">
        <v>119</v>
      </c>
      <c r="O78" s="206"/>
      <c r="P78" s="520" t="str">
        <f>'[4]vnos podatkov'!$B$10</f>
        <v>LUKA ZALAZNIK</v>
      </c>
      <c r="Q78" s="521"/>
      <c r="U78" s="180"/>
      <c r="V78" s="355"/>
      <c r="W78" s="355"/>
      <c r="X78" s="355"/>
      <c r="Y78" s="355"/>
      <c r="Z78" s="355"/>
      <c r="AA78" s="355"/>
      <c r="AB78" s="355"/>
      <c r="AC78" s="355"/>
      <c r="AD78" s="355"/>
      <c r="AE78" s="355"/>
      <c r="AF78" s="283"/>
      <c r="AG78" s="355"/>
      <c r="AH78" s="355"/>
      <c r="AI78" s="355"/>
      <c r="AJ78" s="355"/>
    </row>
    <row r="79" spans="1:36" s="330" customFormat="1" ht="9" customHeight="1">
      <c r="A79" s="357"/>
      <c r="B79" s="346"/>
      <c r="C79" s="358"/>
      <c r="D79" s="359">
        <v>8</v>
      </c>
      <c r="E79" s="360" t="str">
        <f>UPPER(IF($D79="","",VLOOKUP($D79,'[4]m glavni turnir žrebna lista'!$A$7:$R$38,3)))</f>
        <v>PODGORNIK BRANKO</v>
      </c>
      <c r="F79" s="359"/>
      <c r="G79" s="361">
        <f>IF($D79="","",VLOOKUP($D79,'[4]m glavni turnir žrebna lista'!$A$7:$R$38,10))</f>
        <v>0</v>
      </c>
      <c r="H79" s="361">
        <f>IF($D79="","",VLOOKUP($D79,'[4]m glavni turnir žrebna lista'!$A$7:$R$38,14))</f>
        <v>0</v>
      </c>
      <c r="I79" s="362" t="s">
        <v>9</v>
      </c>
      <c r="J79" s="346"/>
      <c r="K79" s="345"/>
      <c r="L79" s="346"/>
      <c r="M79" s="347"/>
      <c r="N79" s="346" t="s">
        <v>120</v>
      </c>
      <c r="O79" s="345"/>
      <c r="P79" s="522" t="str">
        <f>'[4]vnos podatkov'!$E$10</f>
        <v>ANJA REGENT</v>
      </c>
      <c r="Q79" s="523"/>
      <c r="U79" s="180"/>
      <c r="V79" s="363"/>
      <c r="W79" s="363"/>
      <c r="X79" s="363"/>
      <c r="Y79" s="363"/>
      <c r="Z79" s="363"/>
      <c r="AA79" s="363"/>
      <c r="AB79" s="363"/>
      <c r="AC79" s="363"/>
      <c r="AD79" s="363"/>
      <c r="AE79" s="363"/>
      <c r="AF79" s="364"/>
      <c r="AG79" s="363"/>
      <c r="AH79" s="363"/>
      <c r="AI79" s="363"/>
      <c r="AJ79" s="363"/>
    </row>
  </sheetData>
  <mergeCells count="8">
    <mergeCell ref="A73:B73"/>
    <mergeCell ref="P78:Q78"/>
    <mergeCell ref="P79:Q79"/>
    <mergeCell ref="F3:G3"/>
    <mergeCell ref="V41:Z41"/>
    <mergeCell ref="P60:Q60"/>
    <mergeCell ref="P61:Q62"/>
    <mergeCell ref="P71:Q71"/>
  </mergeCells>
  <conditionalFormatting sqref="G39 G41 G7 G9 G11 G13 G15 G17 G19 G23 G43 G45 G47 G49 G51 G53 G21 G25 G27 G29 G31 G33 G35 G37 G55 G57 G59 G61 G63 G65 G67 G69">
    <cfRule type="expression" priority="1" dxfId="25" stopIfTrue="1">
      <formula>AND($D7&lt;9,$C7&gt;0)</formula>
    </cfRule>
  </conditionalFormatting>
  <conditionalFormatting sqref="L10 L18 L26 L34 L42 L50 L58 L66 N14 N30 N46 N62 P22 P54 J8 J12 J16 J20 J24 J28 J32 J36 J40 J44 J48 J52 J56 J60 J64 J68">
    <cfRule type="expression" priority="2" dxfId="25" stopIfTrue="1">
      <formula>I8="as"</formula>
    </cfRule>
    <cfRule type="expression" priority="3" dxfId="25" stopIfTrue="1">
      <formula>I8="bs"</formula>
    </cfRule>
  </conditionalFormatting>
  <conditionalFormatting sqref="B57 B9 B11 B13 B15 B17 B19 B67 B59 B25 B27 B29 B31 B33 B35 B65 B63 B41 B43 B45 B47 B49 B51 B61">
    <cfRule type="cellIs" priority="4" dxfId="20" operator="equal" stopIfTrue="1">
      <formula>"QA"</formula>
    </cfRule>
    <cfRule type="cellIs" priority="5" dxfId="20" operator="equal" stopIfTrue="1">
      <formula>"DA"</formula>
    </cfRule>
  </conditionalFormatting>
  <conditionalFormatting sqref="I8 I12 I16 I20 I24 I28 I32 I36 I40 I44 I48 I52 I56 I60 I64 I68 K66 K58 K50 K42 K34 K26 K18 K10 M14 M30 M46 M62 O22 O54 O39">
    <cfRule type="expression" priority="6" dxfId="31" stopIfTrue="1">
      <formula>$N$1="CU"</formula>
    </cfRule>
  </conditionalFormatting>
  <conditionalFormatting sqref="P38">
    <cfRule type="expression" priority="7" dxfId="25" stopIfTrue="1">
      <formula>O39="as"</formula>
    </cfRule>
    <cfRule type="expression" priority="8" dxfId="25" stopIfTrue="1">
      <formula>O39="bs"</formula>
    </cfRule>
  </conditionalFormatting>
  <conditionalFormatting sqref="N39 H8 H12 H16 H20 H24 H28 H32 H36 H40 H44 H48 H52 H56 H60 H64 H68 J66 J58 J50 J42 J34 J26 J18 J10 L14 L30 L46 L62 N54 N22">
    <cfRule type="expression" priority="9" dxfId="28" stopIfTrue="1">
      <formula>AND($N$1="CU",H8="Sodnik")</formula>
    </cfRule>
    <cfRule type="expression" priority="10" dxfId="27" stopIfTrue="1">
      <formula>AND($N$1="CU",H8&lt;&gt;"Sodnik",I8&lt;&gt;"")</formula>
    </cfRule>
    <cfRule type="expression" priority="11" dxfId="26" stopIfTrue="1">
      <formula>AND($N$1="CU",H8&lt;&gt;"Sodnik")</formula>
    </cfRule>
  </conditionalFormatting>
  <conditionalFormatting sqref="E7 B21 B7:C7 B23:C23 B37:C37 B39:C39 B53:C53 B55:C55 B69:C69">
    <cfRule type="expression" priority="12" dxfId="25" stopIfTrue="1">
      <formula>"IF(D7&lt;9)"</formula>
    </cfRule>
  </conditionalFormatting>
  <conditionalFormatting sqref="U52">
    <cfRule type="expression" priority="13" dxfId="24" stopIfTrue="1">
      <formula>"IF(Q63=J4)"</formula>
    </cfRule>
  </conditionalFormatting>
  <conditionalFormatting sqref="Q63">
    <cfRule type="cellIs" priority="14" dxfId="23" operator="equal" stopIfTrue="1">
      <formula>1</formula>
    </cfRule>
  </conditionalFormatting>
  <conditionalFormatting sqref="P63">
    <cfRule type="cellIs" priority="15" operator="equal" stopIfTrue="1">
      <formula>"Rang turnirja"</formula>
    </cfRule>
  </conditionalFormatting>
  <conditionalFormatting sqref="D9 D11 D13 D15 D17 D19 D25 D27 D29 D31 D33 D35 D41 D43 D45 D47 D49 D51 D57 D59 D61 D63 D65 D67">
    <cfRule type="expression" priority="16" dxfId="22" stopIfTrue="1">
      <formula>$D9&gt;0</formula>
    </cfRule>
  </conditionalFormatting>
  <conditionalFormatting sqref="D7 D21 D23 D37 D39 D53 D55 D69">
    <cfRule type="expression" priority="17" dxfId="21"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200" verticalDpi="200" orientation="portrait" paperSize="9" scale="97" r:id="rId6"/>
  <drawing r:id="rId3"/>
  <legacyDrawing r:id="rId2"/>
  <mc:AlternateContent xmlns:mc="http://schemas.openxmlformats.org/markup-compatibility/2006">
    <mc:Choice Requires="x14">
      <controls>
        <mc:AlternateContent>
          <mc:Choice Requires="x14">
            <control xmlns:r="http://schemas.openxmlformats.org/officeDocument/2006/relationships" shapeId="7169" r:id="rId4" name="Button 1">
              <controlPr defaultSize="0" print="0" autoFill="0" autoPict="0" macro="[4]!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7170" r:id="rId5" name="Button 2">
              <controlPr defaultSize="0" print="0" autoFill="0" autoPict="0" macro="[4]!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1">
      <selection activeCell="AI6" sqref="AI6"/>
    </sheetView>
  </sheetViews>
  <sheetFormatPr defaultColWidth="15.28125" defaultRowHeight="15"/>
  <cols>
    <col min="1" max="1" width="10.421875" style="438" customWidth="1"/>
    <col min="2" max="2" width="5.57421875" style="438" customWidth="1"/>
    <col min="3" max="3" width="18.8515625" style="438" customWidth="1"/>
    <col min="4" max="4" width="46.421875" style="438" customWidth="1"/>
    <col min="5" max="5" width="31.7109375" style="438" customWidth="1"/>
    <col min="6" max="6" width="19.28125" style="438" customWidth="1"/>
    <col min="7" max="11" width="18.57421875" style="438" customWidth="1"/>
    <col min="12" max="12" width="18.8515625" style="438" customWidth="1"/>
    <col min="13" max="13" width="4.140625" style="439" customWidth="1"/>
    <col min="14" max="15" width="14.57421875" style="374" customWidth="1"/>
    <col min="16" max="16" width="11.140625" style="428" hidden="1" customWidth="1"/>
    <col min="17" max="17" width="24.8515625" style="428" hidden="1" customWidth="1"/>
    <col min="18" max="18" width="18.8515625" style="428" hidden="1" customWidth="1"/>
    <col min="19" max="25" width="14.57421875" style="428" hidden="1" customWidth="1"/>
    <col min="26" max="26" width="24.421875" style="428" hidden="1" customWidth="1"/>
    <col min="27" max="27" width="20.421875" style="428" hidden="1" customWidth="1"/>
    <col min="28" max="33" width="15.28125" style="428" hidden="1" customWidth="1"/>
    <col min="34" max="205" width="15.28125" style="374" customWidth="1"/>
    <col min="206" max="206" width="3.140625" style="374" customWidth="1"/>
    <col min="207" max="16384" width="15.28125" style="374" customWidth="1"/>
  </cols>
  <sheetData>
    <row r="1" spans="1:256" ht="45.75" customHeight="1">
      <c r="A1" s="370"/>
      <c r="B1" s="370"/>
      <c r="C1" s="370"/>
      <c r="D1" s="370"/>
      <c r="E1" s="370"/>
      <c r="F1" s="370"/>
      <c r="G1" s="370"/>
      <c r="H1" s="543" t="s">
        <v>136</v>
      </c>
      <c r="I1" s="543"/>
      <c r="J1" s="543"/>
      <c r="K1" s="543"/>
      <c r="L1" s="543"/>
      <c r="M1" s="371"/>
      <c r="N1" s="372"/>
      <c r="O1" s="372"/>
      <c r="P1" s="373"/>
      <c r="Q1" s="373"/>
      <c r="R1" s="373"/>
      <c r="S1" s="373"/>
      <c r="T1" s="373"/>
      <c r="U1" s="373"/>
      <c r="V1" s="373"/>
      <c r="W1" s="373"/>
      <c r="X1" s="373"/>
      <c r="Y1" s="373"/>
      <c r="Z1" s="373"/>
      <c r="AA1" s="373"/>
      <c r="AB1" s="373"/>
      <c r="AC1" s="373"/>
      <c r="AD1" s="373"/>
      <c r="AE1" s="373"/>
      <c r="AF1" s="373"/>
      <c r="AG1" s="373"/>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2"/>
      <c r="FJ1" s="372"/>
      <c r="FK1" s="372"/>
      <c r="FL1" s="372"/>
      <c r="FM1" s="372"/>
      <c r="FN1" s="372"/>
      <c r="FO1" s="372"/>
      <c r="FP1" s="372"/>
      <c r="FQ1" s="372"/>
      <c r="FR1" s="372"/>
      <c r="FS1" s="372"/>
      <c r="FT1" s="372"/>
      <c r="FU1" s="372"/>
      <c r="FV1" s="372"/>
      <c r="FW1" s="372"/>
      <c r="FX1" s="372"/>
      <c r="FY1" s="372"/>
      <c r="FZ1" s="372"/>
      <c r="GA1" s="372"/>
      <c r="GB1" s="372"/>
      <c r="GC1" s="372"/>
      <c r="GD1" s="372"/>
      <c r="GE1" s="372"/>
      <c r="GF1" s="372"/>
      <c r="GG1" s="372"/>
      <c r="GH1" s="372"/>
      <c r="GI1" s="372"/>
      <c r="GJ1" s="372"/>
      <c r="GK1" s="372"/>
      <c r="GL1" s="372"/>
      <c r="GM1" s="372"/>
      <c r="GN1" s="372"/>
      <c r="GO1" s="372"/>
      <c r="GP1" s="372"/>
      <c r="GQ1" s="372"/>
      <c r="GR1" s="372"/>
      <c r="GS1" s="372"/>
      <c r="GT1" s="372"/>
      <c r="GU1" s="372"/>
      <c r="GV1" s="372"/>
      <c r="GW1" s="372"/>
      <c r="GX1" s="372"/>
      <c r="GY1" s="372"/>
      <c r="GZ1" s="372"/>
      <c r="HA1" s="372"/>
      <c r="HB1" s="372"/>
      <c r="HC1" s="372"/>
      <c r="HD1" s="372"/>
      <c r="HE1" s="372"/>
      <c r="HF1" s="372"/>
      <c r="HG1" s="372"/>
      <c r="HH1" s="372"/>
      <c r="HI1" s="372"/>
      <c r="HJ1" s="372"/>
      <c r="HK1" s="372"/>
      <c r="HL1" s="372"/>
      <c r="HM1" s="372"/>
      <c r="HN1" s="372"/>
      <c r="HO1" s="372"/>
      <c r="HP1" s="372"/>
      <c r="HQ1" s="372"/>
      <c r="HR1" s="372"/>
      <c r="HS1" s="372"/>
      <c r="HT1" s="372"/>
      <c r="HU1" s="372"/>
      <c r="HV1" s="372"/>
      <c r="HW1" s="372"/>
      <c r="HX1" s="372"/>
      <c r="HY1" s="372"/>
      <c r="HZ1" s="372"/>
      <c r="IA1" s="372"/>
      <c r="IB1" s="372"/>
      <c r="IC1" s="372"/>
      <c r="ID1" s="372"/>
      <c r="IE1" s="372"/>
      <c r="IF1" s="372"/>
      <c r="IG1" s="372"/>
      <c r="IH1" s="372"/>
      <c r="II1" s="372"/>
      <c r="IJ1" s="372"/>
      <c r="IK1" s="372"/>
      <c r="IL1" s="372"/>
      <c r="IM1" s="372"/>
      <c r="IN1" s="372"/>
      <c r="IO1" s="372"/>
      <c r="IP1" s="372"/>
      <c r="IQ1" s="372"/>
      <c r="IR1" s="372"/>
      <c r="IS1" s="372"/>
      <c r="IT1" s="372"/>
      <c r="IU1" s="372"/>
      <c r="IV1" s="372"/>
    </row>
    <row r="2" spans="1:256" ht="50.1" customHeight="1">
      <c r="A2" s="370"/>
      <c r="B2" s="370"/>
      <c r="C2" s="370"/>
      <c r="D2" s="370"/>
      <c r="E2" s="370"/>
      <c r="F2" s="370"/>
      <c r="G2" s="370"/>
      <c r="H2" s="544"/>
      <c r="I2" s="375" t="s">
        <v>137</v>
      </c>
      <c r="J2" s="375"/>
      <c r="K2" s="376"/>
      <c r="L2" s="377"/>
      <c r="M2" s="371"/>
      <c r="N2" s="372"/>
      <c r="O2" s="372"/>
      <c r="P2" s="378" t="str">
        <f>'[5]vnos podatkov'!$A$6</f>
        <v>RVO - DRŽAVNO PRVENSTVO</v>
      </c>
      <c r="Q2" s="379"/>
      <c r="R2" s="379"/>
      <c r="S2" s="373"/>
      <c r="T2" s="373"/>
      <c r="U2" s="373"/>
      <c r="V2" s="373"/>
      <c r="W2" s="373"/>
      <c r="X2" s="373"/>
      <c r="Y2" s="373"/>
      <c r="Z2" s="373"/>
      <c r="AA2" s="373"/>
      <c r="AB2" s="373"/>
      <c r="AC2" s="373"/>
      <c r="AD2" s="373"/>
      <c r="AE2" s="373"/>
      <c r="AF2" s="373"/>
      <c r="AG2" s="373"/>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72"/>
      <c r="EV2" s="372"/>
      <c r="EW2" s="372"/>
      <c r="EX2" s="372"/>
      <c r="EY2" s="372"/>
      <c r="EZ2" s="372"/>
      <c r="FA2" s="372"/>
      <c r="FB2" s="372"/>
      <c r="FC2" s="372"/>
      <c r="FD2" s="372"/>
      <c r="FE2" s="372"/>
      <c r="FF2" s="372"/>
      <c r="FG2" s="372"/>
      <c r="FH2" s="372"/>
      <c r="FI2" s="372"/>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2"/>
      <c r="HE2" s="372"/>
      <c r="HF2" s="372"/>
      <c r="HG2" s="372"/>
      <c r="HH2" s="372"/>
      <c r="HI2" s="372"/>
      <c r="HJ2" s="372"/>
      <c r="HK2" s="372"/>
      <c r="HL2" s="372"/>
      <c r="HM2" s="372"/>
      <c r="HN2" s="372"/>
      <c r="HO2" s="372"/>
      <c r="HP2" s="372"/>
      <c r="HQ2" s="372"/>
      <c r="HR2" s="372"/>
      <c r="HS2" s="372"/>
      <c r="HT2" s="372"/>
      <c r="HU2" s="372"/>
      <c r="HV2" s="372"/>
      <c r="HW2" s="372"/>
      <c r="HX2" s="372"/>
      <c r="HY2" s="372"/>
      <c r="HZ2" s="372"/>
      <c r="IA2" s="372"/>
      <c r="IB2" s="372"/>
      <c r="IC2" s="372"/>
      <c r="ID2" s="372"/>
      <c r="IE2" s="372"/>
      <c r="IF2" s="372"/>
      <c r="IG2" s="372"/>
      <c r="IH2" s="372"/>
      <c r="II2" s="372"/>
      <c r="IJ2" s="372"/>
      <c r="IK2" s="372"/>
      <c r="IL2" s="372"/>
      <c r="IM2" s="372"/>
      <c r="IN2" s="372"/>
      <c r="IO2" s="372"/>
      <c r="IP2" s="372"/>
      <c r="IQ2" s="372"/>
      <c r="IR2" s="372"/>
      <c r="IS2" s="372"/>
      <c r="IT2" s="372"/>
      <c r="IU2" s="372"/>
      <c r="IV2" s="372"/>
    </row>
    <row r="3" spans="1:256" ht="50.1" customHeight="1">
      <c r="A3" s="370"/>
      <c r="B3" s="370"/>
      <c r="C3" s="370"/>
      <c r="D3" s="370"/>
      <c r="E3" s="370"/>
      <c r="F3" s="370"/>
      <c r="G3" s="370"/>
      <c r="H3" s="544"/>
      <c r="I3" s="380" t="s">
        <v>138</v>
      </c>
      <c r="J3" s="380"/>
      <c r="K3" s="381">
        <f>'[5]vnos podatkov'!$A$8</f>
        <v>0</v>
      </c>
      <c r="L3" s="376">
        <f>'[5]vnos podatkov'!$B$8</f>
        <v>0</v>
      </c>
      <c r="M3" s="371"/>
      <c r="N3" s="372"/>
      <c r="O3" s="372"/>
      <c r="P3" s="382">
        <f>'[5]vnos podatkov'!$A$8</f>
        <v>0</v>
      </c>
      <c r="Q3" s="382">
        <f>'[5]vnos podatkov'!$B$8</f>
        <v>0</v>
      </c>
      <c r="R3" s="382">
        <f>'[5]vnos podatkov'!$A$10</f>
        <v>0</v>
      </c>
      <c r="S3" s="373"/>
      <c r="T3" s="373"/>
      <c r="U3" s="373"/>
      <c r="V3" s="373"/>
      <c r="W3" s="373"/>
      <c r="X3" s="373"/>
      <c r="Y3" s="373"/>
      <c r="Z3" s="373"/>
      <c r="AA3" s="373"/>
      <c r="AB3" s="373"/>
      <c r="AC3" s="373"/>
      <c r="AD3" s="373"/>
      <c r="AE3" s="373"/>
      <c r="AF3" s="373"/>
      <c r="AG3" s="373"/>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c r="FS3" s="372"/>
      <c r="FT3" s="372"/>
      <c r="FU3" s="372"/>
      <c r="FV3" s="372"/>
      <c r="FW3" s="372"/>
      <c r="FX3" s="372"/>
      <c r="FY3" s="372"/>
      <c r="FZ3" s="372"/>
      <c r="GA3" s="372"/>
      <c r="GB3" s="372"/>
      <c r="GC3" s="372"/>
      <c r="GD3" s="372"/>
      <c r="GE3" s="372"/>
      <c r="GF3" s="372"/>
      <c r="GG3" s="372"/>
      <c r="GH3" s="372"/>
      <c r="GI3" s="372"/>
      <c r="GJ3" s="372"/>
      <c r="GK3" s="372"/>
      <c r="GL3" s="372"/>
      <c r="GM3" s="372"/>
      <c r="GN3" s="372"/>
      <c r="GO3" s="372"/>
      <c r="GP3" s="372"/>
      <c r="GQ3" s="372"/>
      <c r="GR3" s="372"/>
      <c r="GS3" s="372"/>
      <c r="GT3" s="372"/>
      <c r="GU3" s="372"/>
      <c r="GV3" s="372"/>
      <c r="GW3" s="372"/>
      <c r="GX3" s="372"/>
      <c r="GY3" s="372"/>
      <c r="GZ3" s="372"/>
      <c r="HA3" s="372"/>
      <c r="HB3" s="372"/>
      <c r="HC3" s="372"/>
      <c r="HD3" s="372"/>
      <c r="HE3" s="372"/>
      <c r="HF3" s="372"/>
      <c r="HG3" s="372"/>
      <c r="HH3" s="372"/>
      <c r="HI3" s="372"/>
      <c r="HJ3" s="372"/>
      <c r="HK3" s="372"/>
      <c r="HL3" s="372"/>
      <c r="HM3" s="372"/>
      <c r="HN3" s="372"/>
      <c r="HO3" s="372"/>
      <c r="HP3" s="372"/>
      <c r="HQ3" s="372"/>
      <c r="HR3" s="372"/>
      <c r="HS3" s="372"/>
      <c r="HT3" s="372"/>
      <c r="HU3" s="372"/>
      <c r="HV3" s="372"/>
      <c r="HW3" s="372"/>
      <c r="HX3" s="372"/>
      <c r="HY3" s="372"/>
      <c r="HZ3" s="372"/>
      <c r="IA3" s="372"/>
      <c r="IB3" s="372"/>
      <c r="IC3" s="372"/>
      <c r="ID3" s="372"/>
      <c r="IE3" s="372"/>
      <c r="IF3" s="372"/>
      <c r="IG3" s="372"/>
      <c r="IH3" s="372"/>
      <c r="II3" s="372"/>
      <c r="IJ3" s="372"/>
      <c r="IK3" s="372"/>
      <c r="IL3" s="372"/>
      <c r="IM3" s="372"/>
      <c r="IN3" s="372"/>
      <c r="IO3" s="372"/>
      <c r="IP3" s="372"/>
      <c r="IQ3" s="372"/>
      <c r="IR3" s="372"/>
      <c r="IS3" s="372"/>
      <c r="IT3" s="372"/>
      <c r="IU3" s="372"/>
      <c r="IV3" s="372"/>
    </row>
    <row r="4" spans="1:256" ht="50.1" customHeight="1">
      <c r="A4" s="370"/>
      <c r="B4" s="370"/>
      <c r="C4" s="545" t="s">
        <v>139</v>
      </c>
      <c r="D4" s="545"/>
      <c r="E4" s="546">
        <f>'[5]vnos podatkov'!$C$10</f>
        <v>0</v>
      </c>
      <c r="F4" s="546">
        <f>'[5]vnos podatkov'!$C$10</f>
        <v>0</v>
      </c>
      <c r="G4" s="547">
        <f>'[5]vnos podatkov'!$C$10</f>
        <v>0</v>
      </c>
      <c r="H4" s="547">
        <f>'[5]vnos podatkov'!$C$10</f>
        <v>0</v>
      </c>
      <c r="I4" s="383" t="s">
        <v>140</v>
      </c>
      <c r="J4" s="384"/>
      <c r="K4" s="385">
        <f>'[5]vnos podatkov'!$A$10</f>
        <v>0</v>
      </c>
      <c r="L4" s="386"/>
      <c r="M4" s="371"/>
      <c r="N4" s="372"/>
      <c r="O4" s="372"/>
      <c r="P4" s="373"/>
      <c r="Q4" s="373"/>
      <c r="R4" s="373"/>
      <c r="S4" s="373"/>
      <c r="T4" s="373"/>
      <c r="U4" s="373"/>
      <c r="V4" s="373"/>
      <c r="W4" s="373"/>
      <c r="X4" s="373"/>
      <c r="Y4" s="373"/>
      <c r="Z4" s="373"/>
      <c r="AA4" s="373"/>
      <c r="AB4" s="373"/>
      <c r="AC4" s="373"/>
      <c r="AD4" s="373"/>
      <c r="AE4" s="373"/>
      <c r="AF4" s="373"/>
      <c r="AG4" s="373"/>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c r="FL4" s="372"/>
      <c r="FM4" s="372"/>
      <c r="FN4" s="372"/>
      <c r="FO4" s="372"/>
      <c r="FP4" s="372"/>
      <c r="FQ4" s="372"/>
      <c r="FR4" s="372"/>
      <c r="FS4" s="372"/>
      <c r="FT4" s="372"/>
      <c r="FU4" s="372"/>
      <c r="FV4" s="372"/>
      <c r="FW4" s="372"/>
      <c r="FX4" s="372"/>
      <c r="FY4" s="372"/>
      <c r="FZ4" s="372"/>
      <c r="GA4" s="372"/>
      <c r="GB4" s="372"/>
      <c r="GC4" s="372"/>
      <c r="GD4" s="372"/>
      <c r="GE4" s="372"/>
      <c r="GF4" s="372"/>
      <c r="GG4" s="372"/>
      <c r="GH4" s="372"/>
      <c r="GI4" s="372"/>
      <c r="GJ4" s="372"/>
      <c r="GK4" s="372"/>
      <c r="GL4" s="372"/>
      <c r="GM4" s="372"/>
      <c r="GN4" s="372"/>
      <c r="GO4" s="372"/>
      <c r="GP4" s="372"/>
      <c r="GQ4" s="372"/>
      <c r="GR4" s="372"/>
      <c r="GS4" s="372"/>
      <c r="GT4" s="372"/>
      <c r="GU4" s="372"/>
      <c r="GV4" s="372"/>
      <c r="GW4" s="372"/>
      <c r="GX4" s="372"/>
      <c r="GY4" s="372"/>
      <c r="GZ4" s="372"/>
      <c r="HA4" s="372"/>
      <c r="HB4" s="372"/>
      <c r="HC4" s="372"/>
      <c r="HD4" s="372"/>
      <c r="HE4" s="372"/>
      <c r="HF4" s="372"/>
      <c r="HG4" s="372"/>
      <c r="HH4" s="372"/>
      <c r="HI4" s="372"/>
      <c r="HJ4" s="372"/>
      <c r="HK4" s="372"/>
      <c r="HL4" s="372"/>
      <c r="HM4" s="372"/>
      <c r="HN4" s="372"/>
      <c r="HO4" s="372"/>
      <c r="HP4" s="372"/>
      <c r="HQ4" s="372"/>
      <c r="HR4" s="372"/>
      <c r="HS4" s="372"/>
      <c r="HT4" s="372"/>
      <c r="HU4" s="372"/>
      <c r="HV4" s="372"/>
      <c r="HW4" s="372"/>
      <c r="HX4" s="372"/>
      <c r="HY4" s="372"/>
      <c r="HZ4" s="372"/>
      <c r="IA4" s="372"/>
      <c r="IB4" s="372"/>
      <c r="IC4" s="372"/>
      <c r="ID4" s="372"/>
      <c r="IE4" s="372"/>
      <c r="IF4" s="372"/>
      <c r="IG4" s="372"/>
      <c r="IH4" s="372"/>
      <c r="II4" s="372"/>
      <c r="IJ4" s="372"/>
      <c r="IK4" s="372"/>
      <c r="IL4" s="372"/>
      <c r="IM4" s="372"/>
      <c r="IN4" s="372"/>
      <c r="IO4" s="372"/>
      <c r="IP4" s="372"/>
      <c r="IQ4" s="372"/>
      <c r="IR4" s="372"/>
      <c r="IS4" s="372"/>
      <c r="IT4" s="372"/>
      <c r="IU4" s="372"/>
      <c r="IV4" s="372"/>
    </row>
    <row r="5" spans="1:256" ht="50.1" customHeight="1">
      <c r="A5" s="370"/>
      <c r="B5" s="370"/>
      <c r="C5" s="545" t="s">
        <v>141</v>
      </c>
      <c r="D5" s="545"/>
      <c r="E5" s="546" t="str">
        <f>'[5]vnos podatkov'!$A$6</f>
        <v>RVO - DRŽAVNO PRVENSTVO</v>
      </c>
      <c r="F5" s="546"/>
      <c r="G5" s="547"/>
      <c r="H5" s="547"/>
      <c r="I5" s="548" t="s">
        <v>142</v>
      </c>
      <c r="J5" s="548"/>
      <c r="K5" s="385"/>
      <c r="L5" s="377"/>
      <c r="M5" s="371"/>
      <c r="N5" s="372"/>
      <c r="O5" s="372"/>
      <c r="P5" s="373"/>
      <c r="Q5" s="373"/>
      <c r="R5" s="373"/>
      <c r="S5" s="373"/>
      <c r="T5" s="373"/>
      <c r="U5" s="373"/>
      <c r="V5" s="373"/>
      <c r="W5" s="373"/>
      <c r="X5" s="373"/>
      <c r="Y5" s="373"/>
      <c r="Z5" s="373"/>
      <c r="AA5" s="373"/>
      <c r="AB5" s="373"/>
      <c r="AC5" s="373"/>
      <c r="AD5" s="373"/>
      <c r="AE5" s="373"/>
      <c r="AF5" s="373"/>
      <c r="AG5" s="373"/>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c r="FC5" s="372"/>
      <c r="FD5" s="372"/>
      <c r="FE5" s="372"/>
      <c r="FF5" s="372"/>
      <c r="FG5" s="372"/>
      <c r="FH5" s="372"/>
      <c r="FI5" s="372"/>
      <c r="FJ5" s="372"/>
      <c r="FK5" s="372"/>
      <c r="FL5" s="372"/>
      <c r="FM5" s="372"/>
      <c r="FN5" s="372"/>
      <c r="FO5" s="372"/>
      <c r="FP5" s="372"/>
      <c r="FQ5" s="372"/>
      <c r="FR5" s="372"/>
      <c r="FS5" s="372"/>
      <c r="FT5" s="372"/>
      <c r="FU5" s="372"/>
      <c r="FV5" s="372"/>
      <c r="FW5" s="372"/>
      <c r="FX5" s="372"/>
      <c r="FY5" s="372"/>
      <c r="FZ5" s="372"/>
      <c r="GA5" s="372"/>
      <c r="GB5" s="372"/>
      <c r="GC5" s="372"/>
      <c r="GD5" s="372"/>
      <c r="GE5" s="372"/>
      <c r="GF5" s="372"/>
      <c r="GG5" s="372"/>
      <c r="GH5" s="372"/>
      <c r="GI5" s="372"/>
      <c r="GJ5" s="372"/>
      <c r="GK5" s="372"/>
      <c r="GL5" s="372"/>
      <c r="GM5" s="372"/>
      <c r="GN5" s="372"/>
      <c r="GO5" s="372"/>
      <c r="GP5" s="372"/>
      <c r="GQ5" s="372"/>
      <c r="GR5" s="372"/>
      <c r="GS5" s="372"/>
      <c r="GT5" s="372"/>
      <c r="GU5" s="372"/>
      <c r="GV5" s="372"/>
      <c r="GW5" s="372"/>
      <c r="GX5" s="372"/>
      <c r="GY5" s="372"/>
      <c r="GZ5" s="372"/>
      <c r="HA5" s="372"/>
      <c r="HB5" s="372"/>
      <c r="HC5" s="372"/>
      <c r="HD5" s="372"/>
      <c r="HE5" s="372"/>
      <c r="HF5" s="372"/>
      <c r="HG5" s="372"/>
      <c r="HH5" s="372"/>
      <c r="HI5" s="372"/>
      <c r="HJ5" s="372"/>
      <c r="HK5" s="372"/>
      <c r="HL5" s="372"/>
      <c r="HM5" s="372"/>
      <c r="HN5" s="372"/>
      <c r="HO5" s="372"/>
      <c r="HP5" s="372"/>
      <c r="HQ5" s="372"/>
      <c r="HR5" s="372"/>
      <c r="HS5" s="372"/>
      <c r="HT5" s="372"/>
      <c r="HU5" s="372"/>
      <c r="HV5" s="372"/>
      <c r="HW5" s="372"/>
      <c r="HX5" s="372"/>
      <c r="HY5" s="372"/>
      <c r="HZ5" s="372"/>
      <c r="IA5" s="372"/>
      <c r="IB5" s="372"/>
      <c r="IC5" s="372"/>
      <c r="ID5" s="372"/>
      <c r="IE5" s="372"/>
      <c r="IF5" s="372"/>
      <c r="IG5" s="372"/>
      <c r="IH5" s="372"/>
      <c r="II5" s="372"/>
      <c r="IJ5" s="372"/>
      <c r="IK5" s="372"/>
      <c r="IL5" s="372"/>
      <c r="IM5" s="372"/>
      <c r="IN5" s="372"/>
      <c r="IO5" s="372"/>
      <c r="IP5" s="372"/>
      <c r="IQ5" s="372"/>
      <c r="IR5" s="372"/>
      <c r="IS5" s="372"/>
      <c r="IT5" s="372"/>
      <c r="IU5" s="372"/>
      <c r="IV5" s="372"/>
    </row>
    <row r="6" spans="1:256" s="392" customFormat="1" ht="90" customHeight="1">
      <c r="A6" s="370"/>
      <c r="B6" s="370"/>
      <c r="C6" s="387" t="s">
        <v>143</v>
      </c>
      <c r="D6" s="387"/>
      <c r="E6" s="388"/>
      <c r="F6" s="389"/>
      <c r="G6" s="534"/>
      <c r="H6" s="534"/>
      <c r="I6" s="534"/>
      <c r="J6" s="534"/>
      <c r="K6" s="535" t="s">
        <v>144</v>
      </c>
      <c r="L6" s="535" t="s">
        <v>145</v>
      </c>
      <c r="M6" s="371"/>
      <c r="N6" s="390"/>
      <c r="O6" s="390"/>
      <c r="P6" s="540" t="s">
        <v>146</v>
      </c>
      <c r="Q6" s="541"/>
      <c r="R6" s="541"/>
      <c r="S6" s="541"/>
      <c r="T6" s="542"/>
      <c r="U6" s="391"/>
      <c r="V6" s="382"/>
      <c r="W6" s="382"/>
      <c r="X6" s="382"/>
      <c r="Y6" s="382"/>
      <c r="Z6" s="382"/>
      <c r="AA6" s="382"/>
      <c r="AB6" s="382"/>
      <c r="AC6" s="382"/>
      <c r="AD6" s="382"/>
      <c r="AE6" s="382"/>
      <c r="AF6" s="382"/>
      <c r="AG6" s="382"/>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0"/>
      <c r="FS6" s="390"/>
      <c r="FT6" s="390"/>
      <c r="FU6" s="390"/>
      <c r="FV6" s="390"/>
      <c r="FW6" s="390"/>
      <c r="FX6" s="390"/>
      <c r="FY6" s="390"/>
      <c r="FZ6" s="390"/>
      <c r="GA6" s="390"/>
      <c r="GB6" s="390"/>
      <c r="GC6" s="390"/>
      <c r="GD6" s="390"/>
      <c r="GE6" s="390"/>
      <c r="GF6" s="390"/>
      <c r="GG6" s="390"/>
      <c r="GH6" s="390"/>
      <c r="GI6" s="390"/>
      <c r="GJ6" s="390"/>
      <c r="GK6" s="390"/>
      <c r="GL6" s="390"/>
      <c r="GM6" s="390"/>
      <c r="GN6" s="390"/>
      <c r="GO6" s="390"/>
      <c r="GP6" s="390"/>
      <c r="GQ6" s="390"/>
      <c r="GR6" s="390"/>
      <c r="GS6" s="390"/>
      <c r="GT6" s="390"/>
      <c r="GU6" s="390"/>
      <c r="GV6" s="390"/>
      <c r="GW6" s="390"/>
      <c r="GX6" s="390"/>
      <c r="GY6" s="390"/>
      <c r="GZ6" s="390"/>
      <c r="HA6" s="390"/>
      <c r="HB6" s="390"/>
      <c r="HC6" s="390"/>
      <c r="HD6" s="390"/>
      <c r="HE6" s="390"/>
      <c r="HF6" s="390"/>
      <c r="HG6" s="390"/>
      <c r="HH6" s="390"/>
      <c r="HI6" s="390"/>
      <c r="HJ6" s="390"/>
      <c r="HK6" s="390"/>
      <c r="HL6" s="390"/>
      <c r="HM6" s="390"/>
      <c r="HN6" s="390"/>
      <c r="HO6" s="390"/>
      <c r="HP6" s="390"/>
      <c r="HQ6" s="390"/>
      <c r="HR6" s="390"/>
      <c r="HS6" s="390"/>
      <c r="HT6" s="390"/>
      <c r="HU6" s="390"/>
      <c r="HV6" s="390"/>
      <c r="HW6" s="390"/>
      <c r="HX6" s="390"/>
      <c r="HY6" s="390"/>
      <c r="HZ6" s="390"/>
      <c r="IA6" s="390"/>
      <c r="IB6" s="390"/>
      <c r="IC6" s="390"/>
      <c r="ID6" s="390"/>
      <c r="IE6" s="390"/>
      <c r="IF6" s="390"/>
      <c r="IG6" s="390"/>
      <c r="IH6" s="390"/>
      <c r="II6" s="390"/>
      <c r="IJ6" s="390"/>
      <c r="IK6" s="390"/>
      <c r="IL6" s="390"/>
      <c r="IM6" s="390"/>
      <c r="IN6" s="390"/>
      <c r="IO6" s="390"/>
      <c r="IP6" s="390"/>
      <c r="IQ6" s="390"/>
      <c r="IR6" s="390"/>
      <c r="IS6" s="390"/>
      <c r="IT6" s="390"/>
      <c r="IU6" s="390"/>
      <c r="IV6" s="390"/>
    </row>
    <row r="7" spans="1:256" s="400" customFormat="1" ht="40.5" customHeight="1">
      <c r="A7" s="370"/>
      <c r="B7" s="370"/>
      <c r="C7" s="393" t="s">
        <v>73</v>
      </c>
      <c r="D7" s="394" t="s">
        <v>75</v>
      </c>
      <c r="E7" s="394" t="s">
        <v>76</v>
      </c>
      <c r="F7" s="394" t="s">
        <v>66</v>
      </c>
      <c r="G7" s="534"/>
      <c r="H7" s="534"/>
      <c r="I7" s="534"/>
      <c r="J7" s="534"/>
      <c r="K7" s="535"/>
      <c r="L7" s="535"/>
      <c r="M7" s="371"/>
      <c r="N7" s="395" t="s">
        <v>147</v>
      </c>
      <c r="O7" s="396"/>
      <c r="P7" s="397" t="s">
        <v>73</v>
      </c>
      <c r="Q7" s="397" t="s">
        <v>75</v>
      </c>
      <c r="R7" s="397" t="s">
        <v>76</v>
      </c>
      <c r="S7" s="397" t="s">
        <v>66</v>
      </c>
      <c r="T7" s="398"/>
      <c r="U7" s="398"/>
      <c r="V7" s="398"/>
      <c r="W7" s="398"/>
      <c r="X7" s="397"/>
      <c r="Y7" s="397" t="s">
        <v>73</v>
      </c>
      <c r="Z7" s="397" t="s">
        <v>75</v>
      </c>
      <c r="AA7" s="397" t="s">
        <v>76</v>
      </c>
      <c r="AB7" s="397" t="s">
        <v>66</v>
      </c>
      <c r="AC7" s="397"/>
      <c r="AD7" s="397"/>
      <c r="AE7" s="397"/>
      <c r="AF7" s="397"/>
      <c r="AG7" s="399" t="s">
        <v>86</v>
      </c>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c r="CX7" s="396"/>
      <c r="CY7" s="396"/>
      <c r="CZ7" s="396"/>
      <c r="DA7" s="396"/>
      <c r="DB7" s="396"/>
      <c r="DC7" s="396"/>
      <c r="DD7" s="396"/>
      <c r="DE7" s="396"/>
      <c r="DF7" s="396"/>
      <c r="DG7" s="396"/>
      <c r="DH7" s="396"/>
      <c r="DI7" s="396"/>
      <c r="DJ7" s="396"/>
      <c r="DK7" s="396"/>
      <c r="DL7" s="396"/>
      <c r="DM7" s="396"/>
      <c r="DN7" s="396"/>
      <c r="DO7" s="396"/>
      <c r="DP7" s="396"/>
      <c r="DQ7" s="396"/>
      <c r="DR7" s="396"/>
      <c r="DS7" s="396"/>
      <c r="DT7" s="396"/>
      <c r="DU7" s="396"/>
      <c r="DV7" s="396"/>
      <c r="DW7" s="396"/>
      <c r="DX7" s="396"/>
      <c r="DY7" s="396"/>
      <c r="DZ7" s="396"/>
      <c r="EA7" s="396"/>
      <c r="EB7" s="396"/>
      <c r="EC7" s="396"/>
      <c r="ED7" s="396"/>
      <c r="EE7" s="396"/>
      <c r="EF7" s="396"/>
      <c r="EG7" s="396"/>
      <c r="EH7" s="396"/>
      <c r="EI7" s="396"/>
      <c r="EJ7" s="396"/>
      <c r="EK7" s="396"/>
      <c r="EL7" s="396"/>
      <c r="EM7" s="396"/>
      <c r="EN7" s="396"/>
      <c r="EO7" s="396"/>
      <c r="EP7" s="396"/>
      <c r="EQ7" s="396"/>
      <c r="ER7" s="396"/>
      <c r="ES7" s="396"/>
      <c r="ET7" s="396"/>
      <c r="EU7" s="396"/>
      <c r="EV7" s="396"/>
      <c r="EW7" s="396"/>
      <c r="EX7" s="396"/>
      <c r="EY7" s="396"/>
      <c r="EZ7" s="396"/>
      <c r="FA7" s="396"/>
      <c r="FB7" s="396"/>
      <c r="FC7" s="396"/>
      <c r="FD7" s="396"/>
      <c r="FE7" s="396"/>
      <c r="FF7" s="396"/>
      <c r="FG7" s="396"/>
      <c r="FH7" s="396"/>
      <c r="FI7" s="396"/>
      <c r="FJ7" s="396"/>
      <c r="FK7" s="396"/>
      <c r="FL7" s="396"/>
      <c r="FM7" s="396"/>
      <c r="FN7" s="396"/>
      <c r="FO7" s="396"/>
      <c r="FP7" s="396"/>
      <c r="FQ7" s="396"/>
      <c r="FR7" s="396"/>
      <c r="FS7" s="396"/>
      <c r="FT7" s="396"/>
      <c r="FU7" s="396"/>
      <c r="FV7" s="396"/>
      <c r="FW7" s="396"/>
      <c r="FX7" s="396"/>
      <c r="FY7" s="396"/>
      <c r="FZ7" s="396"/>
      <c r="GA7" s="396"/>
      <c r="GB7" s="396"/>
      <c r="GC7" s="396"/>
      <c r="GD7" s="396"/>
      <c r="GE7" s="396"/>
      <c r="GF7" s="396"/>
      <c r="GG7" s="396"/>
      <c r="GH7" s="396"/>
      <c r="GI7" s="396"/>
      <c r="GJ7" s="396"/>
      <c r="GK7" s="396"/>
      <c r="GL7" s="396"/>
      <c r="GM7" s="396"/>
      <c r="GN7" s="396"/>
      <c r="GO7" s="396"/>
      <c r="GP7" s="396"/>
      <c r="GQ7" s="396"/>
      <c r="GR7" s="396"/>
      <c r="GS7" s="396"/>
      <c r="GT7" s="396"/>
      <c r="GU7" s="396"/>
      <c r="GV7" s="396"/>
      <c r="GW7" s="396"/>
      <c r="GX7" s="396"/>
      <c r="GY7" s="396"/>
      <c r="GZ7" s="396"/>
      <c r="HA7" s="396"/>
      <c r="HB7" s="396"/>
      <c r="HC7" s="396"/>
      <c r="HD7" s="396"/>
      <c r="HE7" s="396"/>
      <c r="HF7" s="396"/>
      <c r="HG7" s="396"/>
      <c r="HH7" s="396"/>
      <c r="HI7" s="396"/>
      <c r="HJ7" s="396"/>
      <c r="HK7" s="396"/>
      <c r="HL7" s="396"/>
      <c r="HM7" s="396"/>
      <c r="HN7" s="396"/>
      <c r="HO7" s="396"/>
      <c r="HP7" s="396"/>
      <c r="HQ7" s="396"/>
      <c r="HR7" s="396"/>
      <c r="HS7" s="396"/>
      <c r="HT7" s="396"/>
      <c r="HU7" s="396"/>
      <c r="HV7" s="396"/>
      <c r="HW7" s="396"/>
      <c r="HX7" s="396"/>
      <c r="HY7" s="396"/>
      <c r="HZ7" s="396"/>
      <c r="IA7" s="396"/>
      <c r="IB7" s="396"/>
      <c r="IC7" s="396"/>
      <c r="ID7" s="396"/>
      <c r="IE7" s="396"/>
      <c r="IF7" s="396"/>
      <c r="IG7" s="396"/>
      <c r="IH7" s="396"/>
      <c r="II7" s="396"/>
      <c r="IJ7" s="396"/>
      <c r="IK7" s="396"/>
      <c r="IL7" s="396"/>
      <c r="IM7" s="396"/>
      <c r="IN7" s="396"/>
      <c r="IO7" s="396"/>
      <c r="IP7" s="396"/>
      <c r="IQ7" s="396"/>
      <c r="IR7" s="396"/>
      <c r="IS7" s="396"/>
      <c r="IT7" s="396"/>
      <c r="IU7" s="396"/>
      <c r="IV7" s="396"/>
    </row>
    <row r="8" spans="1:256" ht="72" customHeight="1">
      <c r="A8" s="401">
        <v>1</v>
      </c>
      <c r="B8" s="402">
        <v>1</v>
      </c>
      <c r="C8" s="403" t="str">
        <f>UPPER(IF($A8="","",VLOOKUP($A8,'[5]m round robin žrebna lista'!$A$7:$R$128,2)))</f>
        <v/>
      </c>
      <c r="D8" s="404" t="str">
        <f>UPPER(IF($A8="","",VLOOKUP($A8,'[5]m round robin žrebna lista'!$A$7:$R$128,3)))</f>
        <v>BOH MOJMIR</v>
      </c>
      <c r="E8" s="404"/>
      <c r="F8" s="405" t="str">
        <f>UPPER(IF($A8="","",VLOOKUP($A8,'[5]m round robin žrebna lista'!$A$7:$R$128,5)))</f>
        <v/>
      </c>
      <c r="G8" s="406"/>
      <c r="H8" s="407"/>
      <c r="I8" s="407"/>
      <c r="J8" s="407"/>
      <c r="K8" s="408"/>
      <c r="L8" s="408"/>
      <c r="M8" s="409">
        <f>IF($A8="","",VLOOKUP($A8,'[5]m round robin žrebna lista'!$A$7:$R$128,14))</f>
        <v>0</v>
      </c>
      <c r="N8" s="408" t="str">
        <f>IF(L8="","",IF(L8=1,8,IF(L8=2,6,IF(L8=3,4,2))))</f>
        <v/>
      </c>
      <c r="O8" s="373"/>
      <c r="P8" s="410" t="str">
        <f>UPPER(IF($A8="","",VLOOKUP($A8,'[5]m round robin žrebna lista'!$A$7:$R$128,2)))</f>
        <v/>
      </c>
      <c r="Q8" s="410" t="str">
        <f>UPPER(IF($A8="","",VLOOKUP($A8,'[5]m round robin žrebna lista'!$A$7:$R$128,3)))</f>
        <v>BOH MOJMIR</v>
      </c>
      <c r="R8" s="410" t="str">
        <f>PROPER(IF($A8="","",VLOOKUP($A8,'[5]m round robin žrebna lista'!$A$7:$R$128,4)))</f>
        <v/>
      </c>
      <c r="S8" s="410" t="str">
        <f>UPPER(IF($A8="","",VLOOKUP($A8,'[5]m round robin žrebna lista'!$A$7:$R$128,5)))</f>
        <v/>
      </c>
      <c r="T8" s="411"/>
      <c r="U8" s="412"/>
      <c r="V8" s="412"/>
      <c r="W8" s="412"/>
      <c r="X8" s="379"/>
      <c r="Y8" s="410" t="str">
        <f>UPPER(IF($A8="","",VLOOKUP($A8,'[5]m round robin žrebna lista'!$A$7:$R$128,2)))</f>
        <v/>
      </c>
      <c r="Z8" s="410" t="str">
        <f>UPPER(IF($A8="","",VLOOKUP($A8,'[5]m round robin žrebna lista'!$A$7:$R$128,3)))</f>
        <v>BOH MOJMIR</v>
      </c>
      <c r="AA8" s="410" t="str">
        <f>PROPER(IF($A8="","",VLOOKUP($A8,'[5]m round robin žrebna lista'!$A$7:$R$128,4)))</f>
        <v/>
      </c>
      <c r="AB8" s="410" t="str">
        <f>UPPER(IF($A8="","",VLOOKUP($A8,'[5]m round robin žrebna lista'!$A$7:$R$128,5)))</f>
        <v/>
      </c>
      <c r="AC8" s="411"/>
      <c r="AD8" s="413" t="str">
        <f>IF(U8="","",IF(U8="1bb","1bb",IF(U8="2bb","2bb",IF(U8=1,$M9,0))))</f>
        <v/>
      </c>
      <c r="AE8" s="413" t="str">
        <f>IF(V8="","",IF(V8="1bb","1bb",IF(V8="3bb","3bb",IF(V8=1,$M10,0))))</f>
        <v/>
      </c>
      <c r="AF8" s="413" t="str">
        <f>IF(W8="","",IF(W8="1bb","1bb",IF(W8="4bb","4bb",IF(W8=1,$M11,0))))</f>
        <v/>
      </c>
      <c r="AG8" s="414">
        <f>SUM(AD8:AF8)</f>
        <v>0</v>
      </c>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c r="DF8" s="372"/>
      <c r="DG8" s="372"/>
      <c r="DH8" s="372"/>
      <c r="DI8" s="372"/>
      <c r="DJ8" s="372"/>
      <c r="DK8" s="372"/>
      <c r="DL8" s="372"/>
      <c r="DM8" s="372"/>
      <c r="DN8" s="372"/>
      <c r="DO8" s="372"/>
      <c r="DP8" s="372"/>
      <c r="DQ8" s="372"/>
      <c r="DR8" s="372"/>
      <c r="DS8" s="372"/>
      <c r="DT8" s="372"/>
      <c r="DU8" s="372"/>
      <c r="DV8" s="372"/>
      <c r="DW8" s="372"/>
      <c r="DX8" s="372"/>
      <c r="DY8" s="372"/>
      <c r="DZ8" s="372"/>
      <c r="EA8" s="372"/>
      <c r="EB8" s="372"/>
      <c r="EC8" s="372"/>
      <c r="ED8" s="372"/>
      <c r="EE8" s="372"/>
      <c r="EF8" s="372"/>
      <c r="EG8" s="372"/>
      <c r="EH8" s="372"/>
      <c r="EI8" s="37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c r="FL8" s="372"/>
      <c r="FM8" s="372"/>
      <c r="FN8" s="372"/>
      <c r="FO8" s="372"/>
      <c r="FP8" s="372"/>
      <c r="FQ8" s="372"/>
      <c r="FR8" s="372"/>
      <c r="FS8" s="372"/>
      <c r="FT8" s="372"/>
      <c r="FU8" s="372"/>
      <c r="FV8" s="372"/>
      <c r="FW8" s="372"/>
      <c r="FX8" s="372"/>
      <c r="FY8" s="372"/>
      <c r="FZ8" s="372"/>
      <c r="GA8" s="372"/>
      <c r="GB8" s="372"/>
      <c r="GC8" s="372"/>
      <c r="GD8" s="372"/>
      <c r="GE8" s="372"/>
      <c r="GF8" s="372"/>
      <c r="GG8" s="372"/>
      <c r="GH8" s="372"/>
      <c r="GI8" s="372"/>
      <c r="GJ8" s="372"/>
      <c r="GK8" s="372"/>
      <c r="GL8" s="372"/>
      <c r="GM8" s="372"/>
      <c r="GN8" s="372"/>
      <c r="GO8" s="372"/>
      <c r="GP8" s="372"/>
      <c r="GQ8" s="372"/>
      <c r="GR8" s="372"/>
      <c r="GS8" s="372"/>
      <c r="GT8" s="372"/>
      <c r="GU8" s="372"/>
      <c r="GV8" s="372"/>
      <c r="GW8" s="372"/>
      <c r="GX8" s="372"/>
      <c r="GY8" s="372"/>
      <c r="GZ8" s="372"/>
      <c r="HA8" s="372"/>
      <c r="HB8" s="372"/>
      <c r="HC8" s="372"/>
      <c r="HD8" s="372"/>
      <c r="HE8" s="372"/>
      <c r="HF8" s="372"/>
      <c r="HG8" s="372"/>
      <c r="HH8" s="372"/>
      <c r="HI8" s="372"/>
      <c r="HJ8" s="372"/>
      <c r="HK8" s="372"/>
      <c r="HL8" s="372"/>
      <c r="HM8" s="372"/>
      <c r="HN8" s="372"/>
      <c r="HO8" s="372"/>
      <c r="HP8" s="372"/>
      <c r="HQ8" s="372"/>
      <c r="HR8" s="372"/>
      <c r="HS8" s="372"/>
      <c r="HT8" s="372"/>
      <c r="HU8" s="372"/>
      <c r="HV8" s="372"/>
      <c r="HW8" s="372"/>
      <c r="HX8" s="372"/>
      <c r="HY8" s="372"/>
      <c r="HZ8" s="372"/>
      <c r="IA8" s="372"/>
      <c r="IB8" s="372"/>
      <c r="IC8" s="372"/>
      <c r="ID8" s="372"/>
      <c r="IE8" s="372"/>
      <c r="IF8" s="372"/>
      <c r="IG8" s="372"/>
      <c r="IH8" s="372"/>
      <c r="II8" s="372"/>
      <c r="IJ8" s="372"/>
      <c r="IK8" s="372"/>
      <c r="IL8" s="372"/>
      <c r="IM8" s="372"/>
      <c r="IN8" s="372"/>
      <c r="IO8" s="372"/>
      <c r="IP8" s="372"/>
      <c r="IQ8" s="372"/>
      <c r="IR8" s="372"/>
      <c r="IS8" s="372"/>
      <c r="IT8" s="372"/>
      <c r="IU8" s="372"/>
      <c r="IV8" s="372"/>
    </row>
    <row r="9" spans="1:256" ht="72" customHeight="1">
      <c r="A9" s="401">
        <v>2</v>
      </c>
      <c r="B9" s="402">
        <v>2</v>
      </c>
      <c r="C9" s="403" t="str">
        <f>UPPER(IF($A9="","",VLOOKUP($A9,'[5]m round robin žrebna lista'!$A$7:$R$128,2)))</f>
        <v/>
      </c>
      <c r="D9" s="404" t="str">
        <f>UPPER(IF($A9="","",VLOOKUP($A9,'[5]m round robin žrebna lista'!$A$7:$R$128,3)))</f>
        <v>SLAVINEC IGOR</v>
      </c>
      <c r="E9" s="404"/>
      <c r="F9" s="405" t="str">
        <f>UPPER(IF($A9="","",VLOOKUP($A9,'[5]m round robin žrebna lista'!$A$7:$R$128,5)))</f>
        <v/>
      </c>
      <c r="G9" s="407"/>
      <c r="H9" s="406"/>
      <c r="I9" s="407"/>
      <c r="J9" s="407"/>
      <c r="K9" s="408">
        <v>0</v>
      </c>
      <c r="L9" s="408"/>
      <c r="M9" s="409">
        <f>IF($A9="","",VLOOKUP($A9,'[5]m round robin žrebna lista'!$A$7:$R$128,14))</f>
        <v>0</v>
      </c>
      <c r="N9" s="408" t="str">
        <f>IF(L9="","",IF(L9=1,8,IF(L9=2,6,IF(L9=3,4,2))))</f>
        <v/>
      </c>
      <c r="O9" s="373"/>
      <c r="P9" s="410" t="str">
        <f>UPPER(IF($A9="","",VLOOKUP($A9,'[5]m round robin žrebna lista'!$A$7:$R$128,2)))</f>
        <v/>
      </c>
      <c r="Q9" s="410" t="str">
        <f>UPPER(IF($A9="","",VLOOKUP($A9,'[5]m round robin žrebna lista'!$A$7:$R$128,3)))</f>
        <v>SLAVINEC IGOR</v>
      </c>
      <c r="R9" s="410" t="str">
        <f>PROPER(IF($A9="","",VLOOKUP($A9,'[5]m round robin žrebna lista'!$A$7:$R$128,4)))</f>
        <v/>
      </c>
      <c r="S9" s="410" t="str">
        <f>UPPER(IF($A9="","",VLOOKUP($A9,'[5]m round robin žrebna lista'!$A$7:$R$128,5)))</f>
        <v/>
      </c>
      <c r="T9" s="412"/>
      <c r="U9" s="411"/>
      <c r="V9" s="412"/>
      <c r="W9" s="412"/>
      <c r="X9" s="379"/>
      <c r="Y9" s="410" t="str">
        <f>UPPER(IF($A9="","",VLOOKUP($A9,'[5]m round robin žrebna lista'!$A$7:$R$128,2)))</f>
        <v/>
      </c>
      <c r="Z9" s="410" t="str">
        <f>UPPER(IF($A9="","",VLOOKUP($A9,'[5]m round robin žrebna lista'!$A$7:$R$128,3)))</f>
        <v>SLAVINEC IGOR</v>
      </c>
      <c r="AA9" s="410" t="str">
        <f>PROPER(IF($A9="","",VLOOKUP($A9,'[5]m round robin žrebna lista'!$A$7:$R$128,4)))</f>
        <v/>
      </c>
      <c r="AB9" s="410" t="str">
        <f>UPPER(IF($A9="","",VLOOKUP($A9,'[5]m round robin žrebna lista'!$A$7:$R$128,5)))</f>
        <v/>
      </c>
      <c r="AC9" s="413" t="str">
        <f>IF(T9="","",IF(T9="1bb","1bb",IF(T9="2bb","2bb",IF(T9=1,0,M8))))</f>
        <v/>
      </c>
      <c r="AD9" s="411"/>
      <c r="AE9" s="413" t="str">
        <f>IF(V9="","",IF(V9="2bb","2bb",IF(V9="3bb","3bb",IF(V9=2,M10,0))))</f>
        <v/>
      </c>
      <c r="AF9" s="413" t="str">
        <f>IF(W9="","",IF(W9="2bb","2bb",IF(W9="4bb","4bb",IF(W9=2,M11,0))))</f>
        <v/>
      </c>
      <c r="AG9" s="414">
        <f>SUM(AC9:AF9)</f>
        <v>0</v>
      </c>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72"/>
      <c r="EV9" s="372"/>
      <c r="EW9" s="372"/>
      <c r="EX9" s="372"/>
      <c r="EY9" s="372"/>
      <c r="EZ9" s="372"/>
      <c r="FA9" s="372"/>
      <c r="FB9" s="372"/>
      <c r="FC9" s="372"/>
      <c r="FD9" s="372"/>
      <c r="FE9" s="372"/>
      <c r="FF9" s="372"/>
      <c r="FG9" s="372"/>
      <c r="FH9" s="372"/>
      <c r="FI9" s="372"/>
      <c r="FJ9" s="372"/>
      <c r="FK9" s="372"/>
      <c r="FL9" s="372"/>
      <c r="FM9" s="372"/>
      <c r="FN9" s="372"/>
      <c r="FO9" s="372"/>
      <c r="FP9" s="372"/>
      <c r="FQ9" s="372"/>
      <c r="FR9" s="372"/>
      <c r="FS9" s="372"/>
      <c r="FT9" s="372"/>
      <c r="FU9" s="372"/>
      <c r="FV9" s="372"/>
      <c r="FW9" s="372"/>
      <c r="FX9" s="372"/>
      <c r="FY9" s="372"/>
      <c r="FZ9" s="372"/>
      <c r="GA9" s="372"/>
      <c r="GB9" s="372"/>
      <c r="GC9" s="372"/>
      <c r="GD9" s="372"/>
      <c r="GE9" s="372"/>
      <c r="GF9" s="372"/>
      <c r="GG9" s="372"/>
      <c r="GH9" s="372"/>
      <c r="GI9" s="372"/>
      <c r="GJ9" s="372"/>
      <c r="GK9" s="372"/>
      <c r="GL9" s="372"/>
      <c r="GM9" s="372"/>
      <c r="GN9" s="372"/>
      <c r="GO9" s="372"/>
      <c r="GP9" s="372"/>
      <c r="GQ9" s="372"/>
      <c r="GR9" s="372"/>
      <c r="GS9" s="372"/>
      <c r="GT9" s="372"/>
      <c r="GU9" s="372"/>
      <c r="GV9" s="372"/>
      <c r="GW9" s="372"/>
      <c r="GX9" s="372"/>
      <c r="GY9" s="372"/>
      <c r="GZ9" s="372"/>
      <c r="HA9" s="372"/>
      <c r="HB9" s="372"/>
      <c r="HC9" s="372"/>
      <c r="HD9" s="372"/>
      <c r="HE9" s="372"/>
      <c r="HF9" s="372"/>
      <c r="HG9" s="372"/>
      <c r="HH9" s="372"/>
      <c r="HI9" s="372"/>
      <c r="HJ9" s="372"/>
      <c r="HK9" s="372"/>
      <c r="HL9" s="372"/>
      <c r="HM9" s="372"/>
      <c r="HN9" s="372"/>
      <c r="HO9" s="372"/>
      <c r="HP9" s="372"/>
      <c r="HQ9" s="372"/>
      <c r="HR9" s="372"/>
      <c r="HS9" s="372"/>
      <c r="HT9" s="372"/>
      <c r="HU9" s="372"/>
      <c r="HV9" s="372"/>
      <c r="HW9" s="372"/>
      <c r="HX9" s="372"/>
      <c r="HY9" s="372"/>
      <c r="HZ9" s="372"/>
      <c r="IA9" s="372"/>
      <c r="IB9" s="372"/>
      <c r="IC9" s="372"/>
      <c r="ID9" s="372"/>
      <c r="IE9" s="372"/>
      <c r="IF9" s="372"/>
      <c r="IG9" s="372"/>
      <c r="IH9" s="372"/>
      <c r="II9" s="372"/>
      <c r="IJ9" s="372"/>
      <c r="IK9" s="372"/>
      <c r="IL9" s="372"/>
      <c r="IM9" s="372"/>
      <c r="IN9" s="372"/>
      <c r="IO9" s="372"/>
      <c r="IP9" s="372"/>
      <c r="IQ9" s="372"/>
      <c r="IR9" s="372"/>
      <c r="IS9" s="372"/>
      <c r="IT9" s="372"/>
      <c r="IU9" s="372"/>
      <c r="IV9" s="372"/>
    </row>
    <row r="10" spans="1:256" ht="72" customHeight="1">
      <c r="A10" s="401">
        <v>3</v>
      </c>
      <c r="B10" s="415">
        <v>3</v>
      </c>
      <c r="C10" s="403" t="str">
        <f>UPPER(IF($A10="","",VLOOKUP($A10,'[5]m round robin žrebna lista'!$A$7:$R$128,2)))</f>
        <v/>
      </c>
      <c r="D10" s="404" t="str">
        <f>UPPER(IF($A10="","",VLOOKUP($A10,'[5]m round robin žrebna lista'!$A$7:$R$128,3)))</f>
        <v>STIBILJ CVETKO</v>
      </c>
      <c r="E10" s="404"/>
      <c r="F10" s="405" t="str">
        <f>UPPER(IF($A10="","",VLOOKUP($A10,'[5]m round robin žrebna lista'!$A$7:$R$128,5)))</f>
        <v/>
      </c>
      <c r="G10" s="407"/>
      <c r="H10" s="407"/>
      <c r="I10" s="406"/>
      <c r="J10" s="407"/>
      <c r="K10" s="408"/>
      <c r="L10" s="408"/>
      <c r="M10" s="409">
        <f>IF($A10="","",VLOOKUP($A10,'[5]m round robin žrebna lista'!$A$7:$R$128,14))</f>
        <v>0</v>
      </c>
      <c r="N10" s="408" t="str">
        <f>IF(L10="","",IF(L10=1,8,IF(L10=2,6,IF(L10=3,4,2))))</f>
        <v/>
      </c>
      <c r="O10" s="373"/>
      <c r="P10" s="410" t="str">
        <f>UPPER(IF($A10="","",VLOOKUP($A10,'[5]m round robin žrebna lista'!$A$7:$R$128,2)))</f>
        <v/>
      </c>
      <c r="Q10" s="410" t="str">
        <f>UPPER(IF($A10="","",VLOOKUP($A10,'[5]m round robin žrebna lista'!$A$7:$R$128,3)))</f>
        <v>STIBILJ CVETKO</v>
      </c>
      <c r="R10" s="410" t="str">
        <f>PROPER(IF($A10="","",VLOOKUP($A10,'[5]m round robin žrebna lista'!$A$7:$R$128,4)))</f>
        <v/>
      </c>
      <c r="S10" s="410" t="str">
        <f>UPPER(IF($A10="","",VLOOKUP($A10,'[5]m round robin žrebna lista'!$A$7:$R$128,5)))</f>
        <v/>
      </c>
      <c r="T10" s="412"/>
      <c r="U10" s="412"/>
      <c r="V10" s="411"/>
      <c r="W10" s="412"/>
      <c r="X10" s="379"/>
      <c r="Y10" s="410" t="str">
        <f>UPPER(IF($A10="","",VLOOKUP($A10,'[5]m round robin žrebna lista'!$A$7:$R$128,2)))</f>
        <v/>
      </c>
      <c r="Z10" s="410" t="str">
        <f>UPPER(IF($A10="","",VLOOKUP($A10,'[5]m round robin žrebna lista'!$A$7:$R$128,3)))</f>
        <v>STIBILJ CVETKO</v>
      </c>
      <c r="AA10" s="410" t="str">
        <f>PROPER(IF($A10="","",VLOOKUP($A10,'[5]m round robin žrebna lista'!$A$7:$R$128,4)))</f>
        <v/>
      </c>
      <c r="AB10" s="410" t="str">
        <f>UPPER(IF($A10="","",VLOOKUP($A10,'[5]m round robin žrebna lista'!$A$7:$R$128,5)))</f>
        <v/>
      </c>
      <c r="AC10" s="413" t="str">
        <f>IF(T10="","",IF(T10="1bb","1bb",IF(T10="3bb","3bb",IF(T10=1,0,M8))))</f>
        <v/>
      </c>
      <c r="AD10" s="413" t="str">
        <f>IF(U10="","",IF(U10="2bb","2bb",IF(U10="3bb","3bb",IF(U10=2,0,M9))))</f>
        <v/>
      </c>
      <c r="AE10" s="411"/>
      <c r="AF10" s="413" t="str">
        <f>IF(W10="","",IF(W10="3bb","3bb",IF(W10="4bb","4bb",IF(W10=3,M11,0))))</f>
        <v/>
      </c>
      <c r="AG10" s="414">
        <f>SUM(AC10:AF10)</f>
        <v>0</v>
      </c>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72"/>
      <c r="EV10" s="372"/>
      <c r="EW10" s="372"/>
      <c r="EX10" s="372"/>
      <c r="EY10" s="372"/>
      <c r="EZ10" s="372"/>
      <c r="FA10" s="372"/>
      <c r="FB10" s="372"/>
      <c r="FC10" s="372"/>
      <c r="FD10" s="372"/>
      <c r="FE10" s="372"/>
      <c r="FF10" s="372"/>
      <c r="FG10" s="372"/>
      <c r="FH10" s="372"/>
      <c r="FI10" s="372"/>
      <c r="FJ10" s="372"/>
      <c r="FK10" s="372"/>
      <c r="FL10" s="372"/>
      <c r="FM10" s="372"/>
      <c r="FN10" s="372"/>
      <c r="FO10" s="372"/>
      <c r="FP10" s="372"/>
      <c r="FQ10" s="372"/>
      <c r="FR10" s="372"/>
      <c r="FS10" s="372"/>
      <c r="FT10" s="372"/>
      <c r="FU10" s="372"/>
      <c r="FV10" s="372"/>
      <c r="FW10" s="372"/>
      <c r="FX10" s="372"/>
      <c r="FY10" s="372"/>
      <c r="FZ10" s="372"/>
      <c r="GA10" s="372"/>
      <c r="GB10" s="372"/>
      <c r="GC10" s="372"/>
      <c r="GD10" s="372"/>
      <c r="GE10" s="372"/>
      <c r="GF10" s="372"/>
      <c r="GG10" s="372"/>
      <c r="GH10" s="372"/>
      <c r="GI10" s="372"/>
      <c r="GJ10" s="372"/>
      <c r="GK10" s="372"/>
      <c r="GL10" s="372"/>
      <c r="GM10" s="372"/>
      <c r="GN10" s="372"/>
      <c r="GO10" s="372"/>
      <c r="GP10" s="372"/>
      <c r="GQ10" s="372"/>
      <c r="GR10" s="372"/>
      <c r="GS10" s="372"/>
      <c r="GT10" s="372"/>
      <c r="GU10" s="372"/>
      <c r="GV10" s="372"/>
      <c r="GW10" s="372"/>
      <c r="GX10" s="372"/>
      <c r="GY10" s="372"/>
      <c r="GZ10" s="372"/>
      <c r="HA10" s="372"/>
      <c r="HB10" s="372"/>
      <c r="HC10" s="372"/>
      <c r="HD10" s="372"/>
      <c r="HE10" s="372"/>
      <c r="HF10" s="372"/>
      <c r="HG10" s="372"/>
      <c r="HH10" s="372"/>
      <c r="HI10" s="372"/>
      <c r="HJ10" s="372"/>
      <c r="HK10" s="372"/>
      <c r="HL10" s="372"/>
      <c r="HM10" s="372"/>
      <c r="HN10" s="372"/>
      <c r="HO10" s="372"/>
      <c r="HP10" s="372"/>
      <c r="HQ10" s="372"/>
      <c r="HR10" s="372"/>
      <c r="HS10" s="372"/>
      <c r="HT10" s="372"/>
      <c r="HU10" s="372"/>
      <c r="HV10" s="372"/>
      <c r="HW10" s="372"/>
      <c r="HX10" s="372"/>
      <c r="HY10" s="372"/>
      <c r="HZ10" s="372"/>
      <c r="IA10" s="372"/>
      <c r="IB10" s="372"/>
      <c r="IC10" s="372"/>
      <c r="ID10" s="372"/>
      <c r="IE10" s="372"/>
      <c r="IF10" s="372"/>
      <c r="IG10" s="372"/>
      <c r="IH10" s="372"/>
      <c r="II10" s="372"/>
      <c r="IJ10" s="372"/>
      <c r="IK10" s="372"/>
      <c r="IL10" s="372"/>
      <c r="IM10" s="372"/>
      <c r="IN10" s="372"/>
      <c r="IO10" s="372"/>
      <c r="IP10" s="372"/>
      <c r="IQ10" s="372"/>
      <c r="IR10" s="372"/>
      <c r="IS10" s="372"/>
      <c r="IT10" s="372"/>
      <c r="IU10" s="372"/>
      <c r="IV10" s="372"/>
    </row>
    <row r="11" spans="1:256" ht="72" customHeight="1">
      <c r="A11" s="401"/>
      <c r="B11" s="402">
        <v>4</v>
      </c>
      <c r="C11" s="403" t="str">
        <f>UPPER(IF($A11="","",VLOOKUP($A11,'[5]m round robin žrebna lista'!$A$7:$R$128,2)))</f>
        <v/>
      </c>
      <c r="D11" s="404" t="s">
        <v>285</v>
      </c>
      <c r="E11" s="404"/>
      <c r="F11" s="405" t="str">
        <f>UPPER(IF($A11="","",VLOOKUP($A11,'[5]m round robin žrebna lista'!$A$7:$R$128,5)))</f>
        <v/>
      </c>
      <c r="G11" s="407"/>
      <c r="H11" s="407"/>
      <c r="I11" s="407"/>
      <c r="J11" s="406"/>
      <c r="K11" s="408"/>
      <c r="L11" s="408"/>
      <c r="M11" s="409" t="str">
        <f>IF($A11="","",VLOOKUP($A11,'[5]m round robin žrebna lista'!$A$7:$R$128,14))</f>
        <v/>
      </c>
      <c r="N11" s="408" t="str">
        <f>IF(L11="","",IF(L11=1,8,IF(L11=2,6,IF(L11=3,4,2))))</f>
        <v/>
      </c>
      <c r="O11" s="373"/>
      <c r="P11" s="410" t="str">
        <f>UPPER(IF($A11="","",VLOOKUP($A11,'[5]m round robin žrebna lista'!$A$7:$R$128,2)))</f>
        <v/>
      </c>
      <c r="Q11" s="410" t="str">
        <f>UPPER(IF($A11="","",VLOOKUP($A11,'[5]m round robin žrebna lista'!$A$7:$R$128,3)))</f>
        <v/>
      </c>
      <c r="R11" s="410" t="str">
        <f>PROPER(IF($A11="","",VLOOKUP($A11,'[5]m round robin žrebna lista'!$A$7:$R$128,4)))</f>
        <v/>
      </c>
      <c r="S11" s="410" t="str">
        <f>UPPER(IF($A11="","",VLOOKUP($A11,'[5]m round robin žrebna lista'!$A$7:$R$128,5)))</f>
        <v/>
      </c>
      <c r="T11" s="412"/>
      <c r="U11" s="412"/>
      <c r="V11" s="412"/>
      <c r="W11" s="411"/>
      <c r="X11" s="379"/>
      <c r="Y11" s="410" t="str">
        <f>UPPER(IF($A11="","",VLOOKUP($A11,'[5]m round robin žrebna lista'!$A$7:$R$128,2)))</f>
        <v/>
      </c>
      <c r="Z11" s="410" t="str">
        <f>UPPER(IF($A11="","",VLOOKUP($A11,'[5]m round robin žrebna lista'!$A$7:$R$128,3)))</f>
        <v/>
      </c>
      <c r="AA11" s="410" t="str">
        <f>PROPER(IF($A11="","",VLOOKUP($A11,'[5]m round robin žrebna lista'!$A$7:$R$128,4)))</f>
        <v/>
      </c>
      <c r="AB11" s="410" t="str">
        <f>UPPER(IF($A11="","",VLOOKUP($A11,'[5]m round robin žrebna lista'!$A$7:$R$128,5)))</f>
        <v/>
      </c>
      <c r="AC11" s="413" t="str">
        <f>IF(T11="","",IF(T11="1bb","1bb",IF(T11="4bb","4bb",IF(T11=1,0,M8))))</f>
        <v/>
      </c>
      <c r="AD11" s="413" t="str">
        <f>IF(U11="","",IF(U11="2bb","2bb",IF(U11="4bb","4bb",IF(U11=2,0,M9))))</f>
        <v/>
      </c>
      <c r="AE11" s="413" t="str">
        <f>IF(V11="","",IF(V11="3bb","3bb",IF(V11="4bb","4bb",IF(V11=3,0,M10))))</f>
        <v/>
      </c>
      <c r="AF11" s="411"/>
      <c r="AG11" s="414">
        <f>SUM(AC11:AF11)</f>
        <v>0</v>
      </c>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2"/>
      <c r="FA11" s="372"/>
      <c r="FB11" s="372"/>
      <c r="FC11" s="372"/>
      <c r="FD11" s="372"/>
      <c r="FE11" s="372"/>
      <c r="FF11" s="372"/>
      <c r="FG11" s="372"/>
      <c r="FH11" s="372"/>
      <c r="FI11" s="372"/>
      <c r="FJ11" s="372"/>
      <c r="FK11" s="372"/>
      <c r="FL11" s="372"/>
      <c r="FM11" s="372"/>
      <c r="FN11" s="372"/>
      <c r="FO11" s="372"/>
      <c r="FP11" s="372"/>
      <c r="FQ11" s="372"/>
      <c r="FR11" s="372"/>
      <c r="FS11" s="372"/>
      <c r="FT11" s="372"/>
      <c r="FU11" s="372"/>
      <c r="FV11" s="372"/>
      <c r="FW11" s="372"/>
      <c r="FX11" s="372"/>
      <c r="FY11" s="372"/>
      <c r="FZ11" s="372"/>
      <c r="GA11" s="372"/>
      <c r="GB11" s="372"/>
      <c r="GC11" s="372"/>
      <c r="GD11" s="372"/>
      <c r="GE11" s="372"/>
      <c r="GF11" s="372"/>
      <c r="GG11" s="372"/>
      <c r="GH11" s="372"/>
      <c r="GI11" s="372"/>
      <c r="GJ11" s="372"/>
      <c r="GK11" s="372"/>
      <c r="GL11" s="372"/>
      <c r="GM11" s="372"/>
      <c r="GN11" s="372"/>
      <c r="GO11" s="372"/>
      <c r="GP11" s="372"/>
      <c r="GQ11" s="372"/>
      <c r="GR11" s="372"/>
      <c r="GS11" s="372"/>
      <c r="GT11" s="372"/>
      <c r="GU11" s="372"/>
      <c r="GV11" s="372"/>
      <c r="GW11" s="372"/>
      <c r="GX11" s="372"/>
      <c r="GY11" s="372"/>
      <c r="GZ11" s="372"/>
      <c r="HA11" s="372"/>
      <c r="HB11" s="372"/>
      <c r="HC11" s="372"/>
      <c r="HD11" s="372"/>
      <c r="HE11" s="372"/>
      <c r="HF11" s="372"/>
      <c r="HG11" s="372"/>
      <c r="HH11" s="372"/>
      <c r="HI11" s="372"/>
      <c r="HJ11" s="372"/>
      <c r="HK11" s="372"/>
      <c r="HL11" s="372"/>
      <c r="HM11" s="372"/>
      <c r="HN11" s="372"/>
      <c r="HO11" s="372"/>
      <c r="HP11" s="372"/>
      <c r="HQ11" s="372"/>
      <c r="HR11" s="372"/>
      <c r="HS11" s="372"/>
      <c r="HT11" s="372"/>
      <c r="HU11" s="372"/>
      <c r="HV11" s="372"/>
      <c r="HW11" s="372"/>
      <c r="HX11" s="372"/>
      <c r="HY11" s="372"/>
      <c r="HZ11" s="372"/>
      <c r="IA11" s="372"/>
      <c r="IB11" s="372"/>
      <c r="IC11" s="372"/>
      <c r="ID11" s="372"/>
      <c r="IE11" s="372"/>
      <c r="IF11" s="372"/>
      <c r="IG11" s="372"/>
      <c r="IH11" s="372"/>
      <c r="II11" s="372"/>
      <c r="IJ11" s="372"/>
      <c r="IK11" s="372"/>
      <c r="IL11" s="372"/>
      <c r="IM11" s="372"/>
      <c r="IN11" s="372"/>
      <c r="IO11" s="372"/>
      <c r="IP11" s="372"/>
      <c r="IQ11" s="372"/>
      <c r="IR11" s="372"/>
      <c r="IS11" s="372"/>
      <c r="IT11" s="372"/>
      <c r="IU11" s="372"/>
      <c r="IV11" s="372"/>
    </row>
    <row r="12" spans="1:256" ht="100.5" customHeight="1">
      <c r="A12" s="416"/>
      <c r="B12" s="416"/>
      <c r="C12" s="387" t="s">
        <v>148</v>
      </c>
      <c r="D12" s="387"/>
      <c r="E12" s="388"/>
      <c r="F12" s="389"/>
      <c r="G12" s="534"/>
      <c r="H12" s="534"/>
      <c r="I12" s="534"/>
      <c r="J12" s="534"/>
      <c r="K12" s="535" t="s">
        <v>144</v>
      </c>
      <c r="L12" s="535" t="s">
        <v>145</v>
      </c>
      <c r="M12" s="371"/>
      <c r="N12" s="372"/>
      <c r="O12" s="372"/>
      <c r="P12" s="373"/>
      <c r="Q12" s="373"/>
      <c r="R12" s="373"/>
      <c r="S12" s="373"/>
      <c r="T12" s="373"/>
      <c r="U12" s="373"/>
      <c r="V12" s="373"/>
      <c r="W12" s="373"/>
      <c r="X12" s="373"/>
      <c r="Y12" s="373"/>
      <c r="Z12" s="373"/>
      <c r="AA12" s="373"/>
      <c r="AB12" s="373"/>
      <c r="AC12" s="373"/>
      <c r="AD12" s="373"/>
      <c r="AE12" s="373"/>
      <c r="AF12" s="373"/>
      <c r="AG12" s="373"/>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c r="FC12" s="372"/>
      <c r="FD12" s="372"/>
      <c r="FE12" s="372"/>
      <c r="FF12" s="372"/>
      <c r="FG12" s="372"/>
      <c r="FH12" s="372"/>
      <c r="FI12" s="372"/>
      <c r="FJ12" s="372"/>
      <c r="FK12" s="372"/>
      <c r="FL12" s="372"/>
      <c r="FM12" s="372"/>
      <c r="FN12" s="372"/>
      <c r="FO12" s="372"/>
      <c r="FP12" s="372"/>
      <c r="FQ12" s="372"/>
      <c r="FR12" s="372"/>
      <c r="FS12" s="372"/>
      <c r="FT12" s="372"/>
      <c r="FU12" s="372"/>
      <c r="FV12" s="372"/>
      <c r="FW12" s="372"/>
      <c r="FX12" s="372"/>
      <c r="FY12" s="372"/>
      <c r="FZ12" s="372"/>
      <c r="GA12" s="372"/>
      <c r="GB12" s="372"/>
      <c r="GC12" s="372"/>
      <c r="GD12" s="372"/>
      <c r="GE12" s="372"/>
      <c r="GF12" s="372"/>
      <c r="GG12" s="372"/>
      <c r="GH12" s="372"/>
      <c r="GI12" s="372"/>
      <c r="GJ12" s="372"/>
      <c r="GK12" s="372"/>
      <c r="GL12" s="372"/>
      <c r="GM12" s="372"/>
      <c r="GN12" s="372"/>
      <c r="GO12" s="372"/>
      <c r="GP12" s="372"/>
      <c r="GQ12" s="372"/>
      <c r="GR12" s="372"/>
      <c r="GS12" s="372"/>
      <c r="GT12" s="372"/>
      <c r="GU12" s="372"/>
      <c r="GV12" s="372"/>
      <c r="GW12" s="372"/>
      <c r="GX12" s="372"/>
      <c r="GY12" s="372"/>
      <c r="GZ12" s="372"/>
      <c r="HA12" s="372"/>
      <c r="HB12" s="372"/>
      <c r="HC12" s="372"/>
      <c r="HD12" s="372"/>
      <c r="HE12" s="372"/>
      <c r="HF12" s="372"/>
      <c r="HG12" s="372"/>
      <c r="HH12" s="372"/>
      <c r="HI12" s="372"/>
      <c r="HJ12" s="372"/>
      <c r="HK12" s="372"/>
      <c r="HL12" s="372"/>
      <c r="HM12" s="372"/>
      <c r="HN12" s="372"/>
      <c r="HO12" s="372"/>
      <c r="HP12" s="372"/>
      <c r="HQ12" s="372"/>
      <c r="HR12" s="372"/>
      <c r="HS12" s="372"/>
      <c r="HT12" s="372"/>
      <c r="HU12" s="372"/>
      <c r="HV12" s="372"/>
      <c r="HW12" s="372"/>
      <c r="HX12" s="372"/>
      <c r="HY12" s="372"/>
      <c r="HZ12" s="372"/>
      <c r="IA12" s="372"/>
      <c r="IB12" s="372"/>
      <c r="IC12" s="372"/>
      <c r="ID12" s="372"/>
      <c r="IE12" s="372"/>
      <c r="IF12" s="372"/>
      <c r="IG12" s="372"/>
      <c r="IH12" s="372"/>
      <c r="II12" s="372"/>
      <c r="IJ12" s="372"/>
      <c r="IK12" s="372"/>
      <c r="IL12" s="372"/>
      <c r="IM12" s="372"/>
      <c r="IN12" s="372"/>
      <c r="IO12" s="372"/>
      <c r="IP12" s="372"/>
      <c r="IQ12" s="372"/>
      <c r="IR12" s="372"/>
      <c r="IS12" s="372"/>
      <c r="IT12" s="372"/>
      <c r="IU12" s="372"/>
      <c r="IV12" s="372"/>
    </row>
    <row r="13" spans="1:256" s="400" customFormat="1" ht="40.5" customHeight="1">
      <c r="A13" s="416"/>
      <c r="B13" s="416"/>
      <c r="C13" s="393" t="s">
        <v>73</v>
      </c>
      <c r="D13" s="394" t="s">
        <v>75</v>
      </c>
      <c r="E13" s="417" t="s">
        <v>76</v>
      </c>
      <c r="F13" s="394" t="s">
        <v>66</v>
      </c>
      <c r="G13" s="534"/>
      <c r="H13" s="534"/>
      <c r="I13" s="534"/>
      <c r="J13" s="534"/>
      <c r="K13" s="535"/>
      <c r="L13" s="535"/>
      <c r="M13" s="371"/>
      <c r="N13" s="395" t="s">
        <v>147</v>
      </c>
      <c r="O13" s="396"/>
      <c r="P13" s="397" t="s">
        <v>73</v>
      </c>
      <c r="Q13" s="397" t="s">
        <v>75</v>
      </c>
      <c r="R13" s="397" t="s">
        <v>76</v>
      </c>
      <c r="S13" s="397" t="s">
        <v>66</v>
      </c>
      <c r="T13" s="398"/>
      <c r="U13" s="395"/>
      <c r="V13" s="395"/>
      <c r="W13" s="395"/>
      <c r="X13" s="395"/>
      <c r="Y13" s="397" t="s">
        <v>73</v>
      </c>
      <c r="Z13" s="397" t="s">
        <v>75</v>
      </c>
      <c r="AA13" s="397" t="s">
        <v>76</v>
      </c>
      <c r="AB13" s="397" t="s">
        <v>66</v>
      </c>
      <c r="AC13" s="397"/>
      <c r="AD13" s="397"/>
      <c r="AE13" s="397"/>
      <c r="AF13" s="397"/>
      <c r="AG13" s="399" t="s">
        <v>86</v>
      </c>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6"/>
      <c r="EG13" s="396"/>
      <c r="EH13" s="396"/>
      <c r="EI13" s="396"/>
      <c r="EJ13" s="396"/>
      <c r="EK13" s="396"/>
      <c r="EL13" s="396"/>
      <c r="EM13" s="396"/>
      <c r="EN13" s="396"/>
      <c r="EO13" s="396"/>
      <c r="EP13" s="396"/>
      <c r="EQ13" s="396"/>
      <c r="ER13" s="396"/>
      <c r="ES13" s="396"/>
      <c r="ET13" s="396"/>
      <c r="EU13" s="396"/>
      <c r="EV13" s="396"/>
      <c r="EW13" s="396"/>
      <c r="EX13" s="396"/>
      <c r="EY13" s="396"/>
      <c r="EZ13" s="396"/>
      <c r="FA13" s="396"/>
      <c r="FB13" s="396"/>
      <c r="FC13" s="396"/>
      <c r="FD13" s="396"/>
      <c r="FE13" s="396"/>
      <c r="FF13" s="396"/>
      <c r="FG13" s="396"/>
      <c r="FH13" s="396"/>
      <c r="FI13" s="396"/>
      <c r="FJ13" s="396"/>
      <c r="FK13" s="396"/>
      <c r="FL13" s="396"/>
      <c r="FM13" s="396"/>
      <c r="FN13" s="396"/>
      <c r="FO13" s="396"/>
      <c r="FP13" s="396"/>
      <c r="FQ13" s="396"/>
      <c r="FR13" s="396"/>
      <c r="FS13" s="396"/>
      <c r="FT13" s="396"/>
      <c r="FU13" s="396"/>
      <c r="FV13" s="396"/>
      <c r="FW13" s="396"/>
      <c r="FX13" s="396"/>
      <c r="FY13" s="396"/>
      <c r="FZ13" s="396"/>
      <c r="GA13" s="396"/>
      <c r="GB13" s="396"/>
      <c r="GC13" s="396"/>
      <c r="GD13" s="396"/>
      <c r="GE13" s="396"/>
      <c r="GF13" s="396"/>
      <c r="GG13" s="396"/>
      <c r="GH13" s="396"/>
      <c r="GI13" s="396"/>
      <c r="GJ13" s="396"/>
      <c r="GK13" s="396"/>
      <c r="GL13" s="396"/>
      <c r="GM13" s="396"/>
      <c r="GN13" s="396"/>
      <c r="GO13" s="396"/>
      <c r="GP13" s="396"/>
      <c r="GQ13" s="396"/>
      <c r="GR13" s="396"/>
      <c r="GS13" s="396"/>
      <c r="GT13" s="396"/>
      <c r="GU13" s="396"/>
      <c r="GV13" s="396"/>
      <c r="GW13" s="396"/>
      <c r="GX13" s="396"/>
      <c r="GY13" s="396"/>
      <c r="GZ13" s="396"/>
      <c r="HA13" s="396"/>
      <c r="HB13" s="396"/>
      <c r="HC13" s="396"/>
      <c r="HD13" s="396"/>
      <c r="HE13" s="396"/>
      <c r="HF13" s="396"/>
      <c r="HG13" s="396"/>
      <c r="HH13" s="396"/>
      <c r="HI13" s="396"/>
      <c r="HJ13" s="396"/>
      <c r="HK13" s="396"/>
      <c r="HL13" s="396"/>
      <c r="HM13" s="396"/>
      <c r="HN13" s="396"/>
      <c r="HO13" s="396"/>
      <c r="HP13" s="396"/>
      <c r="HQ13" s="396"/>
      <c r="HR13" s="396"/>
      <c r="HS13" s="396"/>
      <c r="HT13" s="396"/>
      <c r="HU13" s="396"/>
      <c r="HV13" s="396"/>
      <c r="HW13" s="396"/>
      <c r="HX13" s="396"/>
      <c r="HY13" s="396"/>
      <c r="HZ13" s="396"/>
      <c r="IA13" s="396"/>
      <c r="IB13" s="396"/>
      <c r="IC13" s="396"/>
      <c r="ID13" s="396"/>
      <c r="IE13" s="396"/>
      <c r="IF13" s="396"/>
      <c r="IG13" s="396"/>
      <c r="IH13" s="396"/>
      <c r="II13" s="396"/>
      <c r="IJ13" s="396"/>
      <c r="IK13" s="396"/>
      <c r="IL13" s="396"/>
      <c r="IM13" s="396"/>
      <c r="IN13" s="396"/>
      <c r="IO13" s="396"/>
      <c r="IP13" s="396"/>
      <c r="IQ13" s="396"/>
      <c r="IR13" s="396"/>
      <c r="IS13" s="396"/>
      <c r="IT13" s="396"/>
      <c r="IU13" s="396"/>
      <c r="IV13" s="396"/>
    </row>
    <row r="14" spans="1:256" ht="72.95" customHeight="1">
      <c r="A14" s="401"/>
      <c r="B14" s="402">
        <v>1</v>
      </c>
      <c r="C14" s="403" t="str">
        <f>UPPER(IF($A14="","",VLOOKUP($A14,'[5]m round robin žrebna lista'!$A$7:$R$128,2)))</f>
        <v/>
      </c>
      <c r="D14" s="404" t="str">
        <f>UPPER(IF($A14="","",VLOOKUP($A14,'[5]m round robin žrebna lista'!$A$7:$R$128,3)))</f>
        <v/>
      </c>
      <c r="E14" s="404" t="str">
        <f>PROPER(IF($A14="","",VLOOKUP($A14,'[5]m round robin žrebna lista'!$A$7:$R$128,4)))</f>
        <v/>
      </c>
      <c r="F14" s="405" t="str">
        <f>UPPER(IF($A14="","",VLOOKUP($A14,'[5]m round robin žrebna lista'!$A$7:$R$128,5)))</f>
        <v/>
      </c>
      <c r="G14" s="406"/>
      <c r="H14" s="407"/>
      <c r="I14" s="407"/>
      <c r="J14" s="407"/>
      <c r="K14" s="408"/>
      <c r="L14" s="408"/>
      <c r="M14" s="409" t="str">
        <f>IF($A14="","",VLOOKUP($A14,'[5]m round robin žrebna lista'!$A$7:$R$128,14))</f>
        <v/>
      </c>
      <c r="N14" s="408" t="str">
        <f>IF(L14="","",IF(L14=1,8,IF(L14=2,6,IF(L14=3,4,2))))</f>
        <v/>
      </c>
      <c r="O14" s="373"/>
      <c r="P14" s="410" t="str">
        <f>UPPER(IF($A14="","",VLOOKUP($A14,'[5]m round robin žrebna lista'!$A$7:$R$128,2)))</f>
        <v/>
      </c>
      <c r="Q14" s="410" t="str">
        <f>UPPER(IF($A14="","",VLOOKUP($A14,'[5]m round robin žrebna lista'!$A$7:$R$128,3)))</f>
        <v/>
      </c>
      <c r="R14" s="410" t="str">
        <f>PROPER(IF($A14="","",VLOOKUP($A14,'[5]m round robin žrebna lista'!$A$7:$R$128,4)))</f>
        <v/>
      </c>
      <c r="S14" s="410" t="str">
        <f>UPPER(IF($A14="","",VLOOKUP($A14,'[5]m round robin žrebna lista'!$A$7:$R$128,5)))</f>
        <v/>
      </c>
      <c r="T14" s="411"/>
      <c r="U14" s="412"/>
      <c r="V14" s="412"/>
      <c r="W14" s="412"/>
      <c r="X14" s="373"/>
      <c r="Y14" s="410" t="str">
        <f>UPPER(IF($A14="","",VLOOKUP($A14,'[5]m round robin žrebna lista'!$A$7:$R$128,2)))</f>
        <v/>
      </c>
      <c r="Z14" s="410" t="str">
        <f>UPPER(IF($A14="","",VLOOKUP($A14,'[5]m round robin žrebna lista'!$A$7:$R$128,3)))</f>
        <v/>
      </c>
      <c r="AA14" s="410" t="str">
        <f>PROPER(IF($A14="","",VLOOKUP($A14,'[5]m round robin žrebna lista'!$A$7:$R$128,4)))</f>
        <v/>
      </c>
      <c r="AB14" s="410" t="str">
        <f>UPPER(IF($A14="","",VLOOKUP($A14,'[5]m round robin žrebna lista'!$A$7:$R$128,5)))</f>
        <v/>
      </c>
      <c r="AC14" s="411"/>
      <c r="AD14" s="412" t="str">
        <f>IF(U14="","",IF(U14="1bb","1bb",IF(U14="2bb","2bb",IF(U14=1,$M15,0))))</f>
        <v/>
      </c>
      <c r="AE14" s="412" t="str">
        <f>IF(V14="","",IF(V14="1bb","1bb",IF(V14="3bb","3bb",IF(V14=1,$M16,0))))</f>
        <v/>
      </c>
      <c r="AF14" s="412" t="str">
        <f>IF(W14="","",IF(W14="1bb","1bb",IF(W14="4bb","4bb",IF(W14=1,$M17,0))))</f>
        <v/>
      </c>
      <c r="AG14" s="418">
        <f>SUM(AD14:AF14)</f>
        <v>0</v>
      </c>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72"/>
      <c r="EV14" s="372"/>
      <c r="EW14" s="372"/>
      <c r="EX14" s="372"/>
      <c r="EY14" s="372"/>
      <c r="EZ14" s="372"/>
      <c r="FA14" s="372"/>
      <c r="FB14" s="372"/>
      <c r="FC14" s="372"/>
      <c r="FD14" s="372"/>
      <c r="FE14" s="372"/>
      <c r="FF14" s="372"/>
      <c r="FG14" s="372"/>
      <c r="FH14" s="372"/>
      <c r="FI14" s="372"/>
      <c r="FJ14" s="372"/>
      <c r="FK14" s="372"/>
      <c r="FL14" s="372"/>
      <c r="FM14" s="372"/>
      <c r="FN14" s="372"/>
      <c r="FO14" s="372"/>
      <c r="FP14" s="372"/>
      <c r="FQ14" s="372"/>
      <c r="FR14" s="372"/>
      <c r="FS14" s="372"/>
      <c r="FT14" s="372"/>
      <c r="FU14" s="372"/>
      <c r="FV14" s="372"/>
      <c r="FW14" s="372"/>
      <c r="FX14" s="372"/>
      <c r="FY14" s="372"/>
      <c r="FZ14" s="372"/>
      <c r="GA14" s="372"/>
      <c r="GB14" s="372"/>
      <c r="GC14" s="372"/>
      <c r="GD14" s="372"/>
      <c r="GE14" s="372"/>
      <c r="GF14" s="372"/>
      <c r="GG14" s="372"/>
      <c r="GH14" s="372"/>
      <c r="GI14" s="372"/>
      <c r="GJ14" s="372"/>
      <c r="GK14" s="372"/>
      <c r="GL14" s="372"/>
      <c r="GM14" s="372"/>
      <c r="GN14" s="372"/>
      <c r="GO14" s="372"/>
      <c r="GP14" s="372"/>
      <c r="GQ14" s="372"/>
      <c r="GR14" s="372"/>
      <c r="GS14" s="372"/>
      <c r="GT14" s="372"/>
      <c r="GU14" s="372"/>
      <c r="GV14" s="372"/>
      <c r="GW14" s="372"/>
      <c r="GX14" s="372"/>
      <c r="GY14" s="372"/>
      <c r="GZ14" s="372"/>
      <c r="HA14" s="372"/>
      <c r="HB14" s="372"/>
      <c r="HC14" s="372"/>
      <c r="HD14" s="372"/>
      <c r="HE14" s="372"/>
      <c r="HF14" s="372"/>
      <c r="HG14" s="372"/>
      <c r="HH14" s="372"/>
      <c r="HI14" s="372"/>
      <c r="HJ14" s="372"/>
      <c r="HK14" s="372"/>
      <c r="HL14" s="372"/>
      <c r="HM14" s="372"/>
      <c r="HN14" s="372"/>
      <c r="HO14" s="372"/>
      <c r="HP14" s="372"/>
      <c r="HQ14" s="372"/>
      <c r="HR14" s="372"/>
      <c r="HS14" s="372"/>
      <c r="HT14" s="372"/>
      <c r="HU14" s="372"/>
      <c r="HV14" s="372"/>
      <c r="HW14" s="372"/>
      <c r="HX14" s="372"/>
      <c r="HY14" s="372"/>
      <c r="HZ14" s="372"/>
      <c r="IA14" s="372"/>
      <c r="IB14" s="372"/>
      <c r="IC14" s="372"/>
      <c r="ID14" s="372"/>
      <c r="IE14" s="372"/>
      <c r="IF14" s="372"/>
      <c r="IG14" s="372"/>
      <c r="IH14" s="372"/>
      <c r="II14" s="372"/>
      <c r="IJ14" s="372"/>
      <c r="IK14" s="372"/>
      <c r="IL14" s="372"/>
      <c r="IM14" s="372"/>
      <c r="IN14" s="372"/>
      <c r="IO14" s="372"/>
      <c r="IP14" s="372"/>
      <c r="IQ14" s="372"/>
      <c r="IR14" s="372"/>
      <c r="IS14" s="372"/>
      <c r="IT14" s="372"/>
      <c r="IU14" s="372"/>
      <c r="IV14" s="372"/>
    </row>
    <row r="15" spans="1:256" ht="72.95" customHeight="1">
      <c r="A15" s="401"/>
      <c r="B15" s="402">
        <v>2</v>
      </c>
      <c r="C15" s="403" t="str">
        <f>UPPER(IF($A15="","",VLOOKUP($A15,'[5]m round robin žrebna lista'!$A$7:$R$128,2)))</f>
        <v/>
      </c>
      <c r="D15" s="404" t="str">
        <f>UPPER(IF($A15="","",VLOOKUP($A15,'[5]m round robin žrebna lista'!$A$7:$R$128,3)))</f>
        <v/>
      </c>
      <c r="E15" s="404" t="str">
        <f>PROPER(IF($A15="","",VLOOKUP($A15,'[5]m round robin žrebna lista'!$A$7:$R$128,4)))</f>
        <v/>
      </c>
      <c r="F15" s="405" t="str">
        <f>UPPER(IF($A15="","",VLOOKUP($A15,'[5]m round robin žrebna lista'!$A$7:$R$128,5)))</f>
        <v/>
      </c>
      <c r="G15" s="407"/>
      <c r="H15" s="406"/>
      <c r="I15" s="407"/>
      <c r="J15" s="407"/>
      <c r="K15" s="408"/>
      <c r="L15" s="408"/>
      <c r="M15" s="409" t="str">
        <f>IF($A15="","",VLOOKUP($A15,'[5]m round robin žrebna lista'!$A$7:$R$128,14))</f>
        <v/>
      </c>
      <c r="N15" s="408" t="str">
        <f>IF(L15="","",IF(L15=1,8,IF(L15=2,6,IF(L15=3,4,2))))</f>
        <v/>
      </c>
      <c r="O15" s="373"/>
      <c r="P15" s="410" t="str">
        <f>UPPER(IF($A15="","",VLOOKUP($A15,'[5]m round robin žrebna lista'!$A$7:$R$128,2)))</f>
        <v/>
      </c>
      <c r="Q15" s="410" t="str">
        <f>UPPER(IF($A15="","",VLOOKUP($A15,'[5]m round robin žrebna lista'!$A$7:$R$128,3)))</f>
        <v/>
      </c>
      <c r="R15" s="410" t="str">
        <f>PROPER(IF($A15="","",VLOOKUP($A15,'[5]m round robin žrebna lista'!$A$7:$R$128,4)))</f>
        <v/>
      </c>
      <c r="S15" s="410" t="str">
        <f>UPPER(IF($A15="","",VLOOKUP($A15,'[5]m round robin žrebna lista'!$A$7:$R$128,5)))</f>
        <v/>
      </c>
      <c r="T15" s="412"/>
      <c r="U15" s="411"/>
      <c r="V15" s="412"/>
      <c r="W15" s="412"/>
      <c r="X15" s="373"/>
      <c r="Y15" s="410" t="str">
        <f>UPPER(IF($A15="","",VLOOKUP($A15,'[5]m round robin žrebna lista'!$A$7:$R$128,2)))</f>
        <v/>
      </c>
      <c r="Z15" s="410" t="str">
        <f>UPPER(IF($A15="","",VLOOKUP($A15,'[5]m round robin žrebna lista'!$A$7:$R$128,3)))</f>
        <v/>
      </c>
      <c r="AA15" s="410" t="str">
        <f>PROPER(IF($A15="","",VLOOKUP($A15,'[5]m round robin žrebna lista'!$A$7:$R$128,4)))</f>
        <v/>
      </c>
      <c r="AB15" s="410" t="str">
        <f>UPPER(IF($A15="","",VLOOKUP($A15,'[5]m round robin žrebna lista'!$A$7:$R$128,5)))</f>
        <v/>
      </c>
      <c r="AC15" s="412" t="str">
        <f>IF(T15="","",IF(T15="1bb","1bb",IF(T15="2bb","2bb",IF(T15=1,0,M14))))</f>
        <v/>
      </c>
      <c r="AD15" s="411"/>
      <c r="AE15" s="412" t="str">
        <f>IF(V15="","",IF(V15="2bb","2bb",IF(V15="3bb","3bb",IF(V15=2,M16,0))))</f>
        <v/>
      </c>
      <c r="AF15" s="412" t="str">
        <f>IF(W15="","",IF(W15="2bb","2bb",IF(W15="4bb","4bb",IF(W15=2,M17,0))))</f>
        <v/>
      </c>
      <c r="AG15" s="418">
        <f>SUM(AC15:AF15)</f>
        <v>0</v>
      </c>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c r="DF15" s="372"/>
      <c r="DG15" s="372"/>
      <c r="DH15" s="372"/>
      <c r="DI15" s="372"/>
      <c r="DJ15" s="372"/>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72"/>
      <c r="EU15" s="372"/>
      <c r="EV15" s="372"/>
      <c r="EW15" s="372"/>
      <c r="EX15" s="372"/>
      <c r="EY15" s="372"/>
      <c r="EZ15" s="372"/>
      <c r="FA15" s="372"/>
      <c r="FB15" s="372"/>
      <c r="FC15" s="372"/>
      <c r="FD15" s="372"/>
      <c r="FE15" s="372"/>
      <c r="FF15" s="372"/>
      <c r="FG15" s="372"/>
      <c r="FH15" s="372"/>
      <c r="FI15" s="372"/>
      <c r="FJ15" s="372"/>
      <c r="FK15" s="372"/>
      <c r="FL15" s="372"/>
      <c r="FM15" s="372"/>
      <c r="FN15" s="372"/>
      <c r="FO15" s="372"/>
      <c r="FP15" s="372"/>
      <c r="FQ15" s="372"/>
      <c r="FR15" s="372"/>
      <c r="FS15" s="372"/>
      <c r="FT15" s="372"/>
      <c r="FU15" s="372"/>
      <c r="FV15" s="372"/>
      <c r="FW15" s="372"/>
      <c r="FX15" s="372"/>
      <c r="FY15" s="372"/>
      <c r="FZ15" s="372"/>
      <c r="GA15" s="372"/>
      <c r="GB15" s="372"/>
      <c r="GC15" s="372"/>
      <c r="GD15" s="372"/>
      <c r="GE15" s="372"/>
      <c r="GF15" s="372"/>
      <c r="GG15" s="372"/>
      <c r="GH15" s="372"/>
      <c r="GI15" s="372"/>
      <c r="GJ15" s="372"/>
      <c r="GK15" s="372"/>
      <c r="GL15" s="372"/>
      <c r="GM15" s="372"/>
      <c r="GN15" s="372"/>
      <c r="GO15" s="372"/>
      <c r="GP15" s="372"/>
      <c r="GQ15" s="372"/>
      <c r="GR15" s="372"/>
      <c r="GS15" s="372"/>
      <c r="GT15" s="372"/>
      <c r="GU15" s="372"/>
      <c r="GV15" s="372"/>
      <c r="GW15" s="372"/>
      <c r="GX15" s="372"/>
      <c r="GY15" s="372"/>
      <c r="GZ15" s="372"/>
      <c r="HA15" s="372"/>
      <c r="HB15" s="372"/>
      <c r="HC15" s="372"/>
      <c r="HD15" s="372"/>
      <c r="HE15" s="372"/>
      <c r="HF15" s="372"/>
      <c r="HG15" s="372"/>
      <c r="HH15" s="372"/>
      <c r="HI15" s="372"/>
      <c r="HJ15" s="372"/>
      <c r="HK15" s="372"/>
      <c r="HL15" s="372"/>
      <c r="HM15" s="372"/>
      <c r="HN15" s="372"/>
      <c r="HO15" s="372"/>
      <c r="HP15" s="372"/>
      <c r="HQ15" s="372"/>
      <c r="HR15" s="372"/>
      <c r="HS15" s="372"/>
      <c r="HT15" s="372"/>
      <c r="HU15" s="372"/>
      <c r="HV15" s="372"/>
      <c r="HW15" s="372"/>
      <c r="HX15" s="372"/>
      <c r="HY15" s="372"/>
      <c r="HZ15" s="372"/>
      <c r="IA15" s="372"/>
      <c r="IB15" s="372"/>
      <c r="IC15" s="372"/>
      <c r="ID15" s="372"/>
      <c r="IE15" s="372"/>
      <c r="IF15" s="372"/>
      <c r="IG15" s="372"/>
      <c r="IH15" s="372"/>
      <c r="II15" s="372"/>
      <c r="IJ15" s="372"/>
      <c r="IK15" s="372"/>
      <c r="IL15" s="372"/>
      <c r="IM15" s="372"/>
      <c r="IN15" s="372"/>
      <c r="IO15" s="372"/>
      <c r="IP15" s="372"/>
      <c r="IQ15" s="372"/>
      <c r="IR15" s="372"/>
      <c r="IS15" s="372"/>
      <c r="IT15" s="372"/>
      <c r="IU15" s="372"/>
      <c r="IV15" s="372"/>
    </row>
    <row r="16" spans="1:256" ht="72.95" customHeight="1">
      <c r="A16" s="401"/>
      <c r="B16" s="402">
        <v>3</v>
      </c>
      <c r="C16" s="403" t="str">
        <f>UPPER(IF($A16="","",VLOOKUP($A16,'[5]m round robin žrebna lista'!$A$7:$R$128,2)))</f>
        <v/>
      </c>
      <c r="D16" s="404" t="str">
        <f>UPPER(IF($A16="","",VLOOKUP($A16,'[5]m round robin žrebna lista'!$A$7:$R$128,3)))</f>
        <v/>
      </c>
      <c r="E16" s="404" t="str">
        <f>PROPER(IF($A16="","",VLOOKUP($A16,'[5]m round robin žrebna lista'!$A$7:$R$128,4)))</f>
        <v/>
      </c>
      <c r="F16" s="405" t="str">
        <f>UPPER(IF($A16="","",VLOOKUP($A16,'[5]m round robin žrebna lista'!$A$7:$R$128,5)))</f>
        <v/>
      </c>
      <c r="G16" s="407"/>
      <c r="H16" s="407"/>
      <c r="I16" s="406"/>
      <c r="J16" s="407"/>
      <c r="K16" s="408"/>
      <c r="L16" s="408"/>
      <c r="M16" s="409" t="str">
        <f>IF($A16="","",VLOOKUP($A16,'[5]m round robin žrebna lista'!$A$7:$R$128,14))</f>
        <v/>
      </c>
      <c r="N16" s="408" t="str">
        <f>IF(L16="","",IF(L16=1,8,IF(L16=2,6,IF(L16=3,4,2))))</f>
        <v/>
      </c>
      <c r="O16" s="373"/>
      <c r="P16" s="410" t="str">
        <f>UPPER(IF($A16="","",VLOOKUP($A16,'[5]m round robin žrebna lista'!$A$7:$R$128,2)))</f>
        <v/>
      </c>
      <c r="Q16" s="410" t="str">
        <f>UPPER(IF($A16="","",VLOOKUP($A16,'[5]m round robin žrebna lista'!$A$7:$R$128,3)))</f>
        <v/>
      </c>
      <c r="R16" s="410" t="str">
        <f>PROPER(IF($A16="","",VLOOKUP($A16,'[5]m round robin žrebna lista'!$A$7:$R$128,4)))</f>
        <v/>
      </c>
      <c r="S16" s="410" t="str">
        <f>UPPER(IF($A16="","",VLOOKUP($A16,'[5]m round robin žrebna lista'!$A$7:$R$128,5)))</f>
        <v/>
      </c>
      <c r="T16" s="412"/>
      <c r="U16" s="412"/>
      <c r="V16" s="411"/>
      <c r="W16" s="412"/>
      <c r="X16" s="373"/>
      <c r="Y16" s="410" t="str">
        <f>UPPER(IF($A16="","",VLOOKUP($A16,'[5]m round robin žrebna lista'!$A$7:$R$128,2)))</f>
        <v/>
      </c>
      <c r="Z16" s="410" t="str">
        <f>UPPER(IF($A16="","",VLOOKUP($A16,'[5]m round robin žrebna lista'!$A$7:$R$128,3)))</f>
        <v/>
      </c>
      <c r="AA16" s="410" t="str">
        <f>PROPER(IF($A16="","",VLOOKUP($A16,'[5]m round robin žrebna lista'!$A$7:$R$128,4)))</f>
        <v/>
      </c>
      <c r="AB16" s="410" t="str">
        <f>UPPER(IF($A16="","",VLOOKUP($A16,'[5]m round robin žrebna lista'!$A$7:$R$128,5)))</f>
        <v/>
      </c>
      <c r="AC16" s="412" t="str">
        <f>IF(T16="","",IF(T16="1bb","1bb",IF(T16="3bb","3bb",IF(T16=1,0,M14))))</f>
        <v/>
      </c>
      <c r="AD16" s="412" t="str">
        <f>IF(U16="","",IF(U16="2bb","2bb",IF(U16="3bb","3bb",IF(U16=2,0,M15))))</f>
        <v/>
      </c>
      <c r="AE16" s="411"/>
      <c r="AF16" s="412" t="str">
        <f>IF(W16="","",IF(W16="3bb","3bb",IF(W16="4bb","4bb",IF(W16=3,M17,0))))</f>
        <v/>
      </c>
      <c r="AG16" s="418">
        <f>SUM(AC16:AF16)</f>
        <v>0</v>
      </c>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72"/>
      <c r="EV16" s="372"/>
      <c r="EW16" s="372"/>
      <c r="EX16" s="372"/>
      <c r="EY16" s="372"/>
      <c r="EZ16" s="372"/>
      <c r="FA16" s="372"/>
      <c r="FB16" s="372"/>
      <c r="FC16" s="372"/>
      <c r="FD16" s="372"/>
      <c r="FE16" s="372"/>
      <c r="FF16" s="372"/>
      <c r="FG16" s="372"/>
      <c r="FH16" s="372"/>
      <c r="FI16" s="372"/>
      <c r="FJ16" s="372"/>
      <c r="FK16" s="372"/>
      <c r="FL16" s="372"/>
      <c r="FM16" s="372"/>
      <c r="FN16" s="372"/>
      <c r="FO16" s="372"/>
      <c r="FP16" s="372"/>
      <c r="FQ16" s="372"/>
      <c r="FR16" s="372"/>
      <c r="FS16" s="372"/>
      <c r="FT16" s="372"/>
      <c r="FU16" s="372"/>
      <c r="FV16" s="372"/>
      <c r="FW16" s="372"/>
      <c r="FX16" s="372"/>
      <c r="FY16" s="372"/>
      <c r="FZ16" s="372"/>
      <c r="GA16" s="372"/>
      <c r="GB16" s="372"/>
      <c r="GC16" s="372"/>
      <c r="GD16" s="372"/>
      <c r="GE16" s="372"/>
      <c r="GF16" s="372"/>
      <c r="GG16" s="372"/>
      <c r="GH16" s="372"/>
      <c r="GI16" s="372"/>
      <c r="GJ16" s="372"/>
      <c r="GK16" s="372"/>
      <c r="GL16" s="372"/>
      <c r="GM16" s="372"/>
      <c r="GN16" s="372"/>
      <c r="GO16" s="372"/>
      <c r="GP16" s="372"/>
      <c r="GQ16" s="372"/>
      <c r="GR16" s="372"/>
      <c r="GS16" s="372"/>
      <c r="GT16" s="372"/>
      <c r="GU16" s="372"/>
      <c r="GV16" s="372"/>
      <c r="GW16" s="372"/>
      <c r="GX16" s="372"/>
      <c r="GY16" s="372"/>
      <c r="GZ16" s="372"/>
      <c r="HA16" s="372"/>
      <c r="HB16" s="372"/>
      <c r="HC16" s="372"/>
      <c r="HD16" s="372"/>
      <c r="HE16" s="372"/>
      <c r="HF16" s="372"/>
      <c r="HG16" s="372"/>
      <c r="HH16" s="372"/>
      <c r="HI16" s="372"/>
      <c r="HJ16" s="372"/>
      <c r="HK16" s="372"/>
      <c r="HL16" s="372"/>
      <c r="HM16" s="372"/>
      <c r="HN16" s="372"/>
      <c r="HO16" s="372"/>
      <c r="HP16" s="372"/>
      <c r="HQ16" s="372"/>
      <c r="HR16" s="372"/>
      <c r="HS16" s="372"/>
      <c r="HT16" s="372"/>
      <c r="HU16" s="372"/>
      <c r="HV16" s="372"/>
      <c r="HW16" s="372"/>
      <c r="HX16" s="372"/>
      <c r="HY16" s="372"/>
      <c r="HZ16" s="372"/>
      <c r="IA16" s="372"/>
      <c r="IB16" s="372"/>
      <c r="IC16" s="372"/>
      <c r="ID16" s="372"/>
      <c r="IE16" s="372"/>
      <c r="IF16" s="372"/>
      <c r="IG16" s="372"/>
      <c r="IH16" s="372"/>
      <c r="II16" s="372"/>
      <c r="IJ16" s="372"/>
      <c r="IK16" s="372"/>
      <c r="IL16" s="372"/>
      <c r="IM16" s="372"/>
      <c r="IN16" s="372"/>
      <c r="IO16" s="372"/>
      <c r="IP16" s="372"/>
      <c r="IQ16" s="372"/>
      <c r="IR16" s="372"/>
      <c r="IS16" s="372"/>
      <c r="IT16" s="372"/>
      <c r="IU16" s="372"/>
      <c r="IV16" s="372"/>
    </row>
    <row r="17" spans="1:256" ht="72.95" customHeight="1">
      <c r="A17" s="401"/>
      <c r="B17" s="402">
        <v>4</v>
      </c>
      <c r="C17" s="403" t="str">
        <f>UPPER(IF($A17="","",VLOOKUP($A17,'[5]m round robin žrebna lista'!$A$7:$R$128,2)))</f>
        <v/>
      </c>
      <c r="D17" s="404" t="str">
        <f>UPPER(IF($A17="","",VLOOKUP($A17,'[5]m round robin žrebna lista'!$A$7:$R$128,3)))</f>
        <v/>
      </c>
      <c r="E17" s="404" t="str">
        <f>PROPER(IF($A17="","",VLOOKUP($A17,'[5]m round robin žrebna lista'!$A$7:$R$128,4)))</f>
        <v/>
      </c>
      <c r="F17" s="405" t="str">
        <f>UPPER(IF($A17="","",VLOOKUP($A17,'[5]m round robin žrebna lista'!$A$7:$R$128,5)))</f>
        <v/>
      </c>
      <c r="G17" s="407"/>
      <c r="H17" s="407"/>
      <c r="I17" s="407"/>
      <c r="J17" s="406"/>
      <c r="K17" s="408"/>
      <c r="L17" s="408"/>
      <c r="M17" s="409" t="str">
        <f>IF($A17="","",VLOOKUP($A17,'[5]m round robin žrebna lista'!$A$7:$R$128,14))</f>
        <v/>
      </c>
      <c r="N17" s="408" t="str">
        <f>IF(L17="","",IF(L17=1,8,IF(L17=2,6,IF(L17=3,4,2))))</f>
        <v/>
      </c>
      <c r="O17" s="373"/>
      <c r="P17" s="410" t="str">
        <f>UPPER(IF($A17="","",VLOOKUP($A17,'[5]m round robin žrebna lista'!$A$7:$R$128,2)))</f>
        <v/>
      </c>
      <c r="Q17" s="410" t="str">
        <f>UPPER(IF($A17="","",VLOOKUP($A17,'[5]m round robin žrebna lista'!$A$7:$R$128,3)))</f>
        <v/>
      </c>
      <c r="R17" s="410" t="str">
        <f>PROPER(IF($A17="","",VLOOKUP($A17,'[5]m round robin žrebna lista'!$A$7:$R$128,4)))</f>
        <v/>
      </c>
      <c r="S17" s="410" t="str">
        <f>UPPER(IF($A17="","",VLOOKUP($A17,'[5]m round robin žrebna lista'!$A$7:$R$128,5)))</f>
        <v/>
      </c>
      <c r="T17" s="412"/>
      <c r="U17" s="412"/>
      <c r="V17" s="412"/>
      <c r="W17" s="411"/>
      <c r="X17" s="373"/>
      <c r="Y17" s="410" t="str">
        <f>UPPER(IF($A17="","",VLOOKUP($A17,'[5]m round robin žrebna lista'!$A$7:$R$128,2)))</f>
        <v/>
      </c>
      <c r="Z17" s="410" t="str">
        <f>UPPER(IF($A17="","",VLOOKUP($A17,'[5]m round robin žrebna lista'!$A$7:$R$128,3)))</f>
        <v/>
      </c>
      <c r="AA17" s="410" t="str">
        <f>PROPER(IF($A17="","",VLOOKUP($A17,'[5]m round robin žrebna lista'!$A$7:$R$128,4)))</f>
        <v/>
      </c>
      <c r="AB17" s="410" t="str">
        <f>UPPER(IF($A17="","",VLOOKUP($A17,'[5]m round robin žrebna lista'!$A$7:$R$128,5)))</f>
        <v/>
      </c>
      <c r="AC17" s="412" t="str">
        <f>IF(T17="","",IF(T17="1bb","1bb",IF(T17="4bb","4bb",IF(T17=1,0,M14))))</f>
        <v/>
      </c>
      <c r="AD17" s="412" t="str">
        <f>IF(U17="","",IF(U17="2bb","2bb",IF(U17="4bb","4bb",IF(U17=2,0,M15))))</f>
        <v/>
      </c>
      <c r="AE17" s="412" t="str">
        <f>IF(V17="","",IF(V17="3bb","3bb",IF(V17="4bb","4bb",IF(V17=3,0,M16))))</f>
        <v/>
      </c>
      <c r="AF17" s="411"/>
      <c r="AG17" s="418">
        <f>SUM(AC17:AE17)</f>
        <v>0</v>
      </c>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c r="DF17" s="372"/>
      <c r="DG17" s="372"/>
      <c r="DH17" s="372"/>
      <c r="DI17" s="372"/>
      <c r="DJ17" s="372"/>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72"/>
      <c r="EV17" s="372"/>
      <c r="EW17" s="372"/>
      <c r="EX17" s="372"/>
      <c r="EY17" s="372"/>
      <c r="EZ17" s="372"/>
      <c r="FA17" s="372"/>
      <c r="FB17" s="372"/>
      <c r="FC17" s="372"/>
      <c r="FD17" s="372"/>
      <c r="FE17" s="372"/>
      <c r="FF17" s="372"/>
      <c r="FG17" s="372"/>
      <c r="FH17" s="372"/>
      <c r="FI17" s="372"/>
      <c r="FJ17" s="372"/>
      <c r="FK17" s="372"/>
      <c r="FL17" s="372"/>
      <c r="FM17" s="372"/>
      <c r="FN17" s="372"/>
      <c r="FO17" s="372"/>
      <c r="FP17" s="372"/>
      <c r="FQ17" s="372"/>
      <c r="FR17" s="372"/>
      <c r="FS17" s="372"/>
      <c r="FT17" s="372"/>
      <c r="FU17" s="372"/>
      <c r="FV17" s="372"/>
      <c r="FW17" s="372"/>
      <c r="FX17" s="372"/>
      <c r="FY17" s="372"/>
      <c r="FZ17" s="372"/>
      <c r="GA17" s="372"/>
      <c r="GB17" s="372"/>
      <c r="GC17" s="372"/>
      <c r="GD17" s="372"/>
      <c r="GE17" s="372"/>
      <c r="GF17" s="372"/>
      <c r="GG17" s="372"/>
      <c r="GH17" s="372"/>
      <c r="GI17" s="372"/>
      <c r="GJ17" s="372"/>
      <c r="GK17" s="372"/>
      <c r="GL17" s="372"/>
      <c r="GM17" s="372"/>
      <c r="GN17" s="372"/>
      <c r="GO17" s="372"/>
      <c r="GP17" s="372"/>
      <c r="GQ17" s="372"/>
      <c r="GR17" s="372"/>
      <c r="GS17" s="372"/>
      <c r="GT17" s="372"/>
      <c r="GU17" s="372"/>
      <c r="GV17" s="372"/>
      <c r="GW17" s="372"/>
      <c r="GX17" s="372"/>
      <c r="GY17" s="372"/>
      <c r="GZ17" s="372"/>
      <c r="HA17" s="372"/>
      <c r="HB17" s="372"/>
      <c r="HC17" s="372"/>
      <c r="HD17" s="372"/>
      <c r="HE17" s="372"/>
      <c r="HF17" s="372"/>
      <c r="HG17" s="372"/>
      <c r="HH17" s="372"/>
      <c r="HI17" s="372"/>
      <c r="HJ17" s="372"/>
      <c r="HK17" s="372"/>
      <c r="HL17" s="372"/>
      <c r="HM17" s="372"/>
      <c r="HN17" s="372"/>
      <c r="HO17" s="372"/>
      <c r="HP17" s="372"/>
      <c r="HQ17" s="372"/>
      <c r="HR17" s="372"/>
      <c r="HS17" s="372"/>
      <c r="HT17" s="372"/>
      <c r="HU17" s="372"/>
      <c r="HV17" s="372"/>
      <c r="HW17" s="372"/>
      <c r="HX17" s="372"/>
      <c r="HY17" s="372"/>
      <c r="HZ17" s="372"/>
      <c r="IA17" s="372"/>
      <c r="IB17" s="372"/>
      <c r="IC17" s="372"/>
      <c r="ID17" s="372"/>
      <c r="IE17" s="372"/>
      <c r="IF17" s="372"/>
      <c r="IG17" s="372"/>
      <c r="IH17" s="372"/>
      <c r="II17" s="372"/>
      <c r="IJ17" s="372"/>
      <c r="IK17" s="372"/>
      <c r="IL17" s="372"/>
      <c r="IM17" s="372"/>
      <c r="IN17" s="372"/>
      <c r="IO17" s="372"/>
      <c r="IP17" s="372"/>
      <c r="IQ17" s="372"/>
      <c r="IR17" s="372"/>
      <c r="IS17" s="372"/>
      <c r="IT17" s="372"/>
      <c r="IU17" s="372"/>
      <c r="IV17" s="372"/>
    </row>
    <row r="18" spans="1:256" ht="90" customHeight="1">
      <c r="A18" s="533"/>
      <c r="B18" s="533"/>
      <c r="C18" s="387" t="s">
        <v>149</v>
      </c>
      <c r="D18" s="387"/>
      <c r="E18" s="388"/>
      <c r="F18" s="389"/>
      <c r="G18" s="534"/>
      <c r="H18" s="534"/>
      <c r="I18" s="534"/>
      <c r="J18" s="534"/>
      <c r="K18" s="535" t="s">
        <v>144</v>
      </c>
      <c r="L18" s="535" t="s">
        <v>145</v>
      </c>
      <c r="M18" s="371"/>
      <c r="N18" s="372"/>
      <c r="O18" s="372"/>
      <c r="P18" s="373"/>
      <c r="Q18" s="373"/>
      <c r="R18" s="373"/>
      <c r="S18" s="373"/>
      <c r="T18" s="373"/>
      <c r="U18" s="373"/>
      <c r="V18" s="373"/>
      <c r="W18" s="373"/>
      <c r="X18" s="373"/>
      <c r="Y18" s="373"/>
      <c r="Z18" s="373"/>
      <c r="AA18" s="373"/>
      <c r="AB18" s="373"/>
      <c r="AC18" s="373"/>
      <c r="AD18" s="373"/>
      <c r="AE18" s="373"/>
      <c r="AF18" s="373"/>
      <c r="AG18" s="373"/>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2"/>
      <c r="EM18" s="372"/>
      <c r="EN18" s="372"/>
      <c r="EO18" s="372"/>
      <c r="EP18" s="372"/>
      <c r="EQ18" s="372"/>
      <c r="ER18" s="372"/>
      <c r="ES18" s="372"/>
      <c r="ET18" s="372"/>
      <c r="EU18" s="372"/>
      <c r="EV18" s="372"/>
      <c r="EW18" s="372"/>
      <c r="EX18" s="372"/>
      <c r="EY18" s="372"/>
      <c r="EZ18" s="372"/>
      <c r="FA18" s="372"/>
      <c r="FB18" s="372"/>
      <c r="FC18" s="372"/>
      <c r="FD18" s="372"/>
      <c r="FE18" s="372"/>
      <c r="FF18" s="372"/>
      <c r="FG18" s="372"/>
      <c r="FH18" s="372"/>
      <c r="FI18" s="372"/>
      <c r="FJ18" s="372"/>
      <c r="FK18" s="372"/>
      <c r="FL18" s="372"/>
      <c r="FM18" s="372"/>
      <c r="FN18" s="372"/>
      <c r="FO18" s="372"/>
      <c r="FP18" s="372"/>
      <c r="FQ18" s="372"/>
      <c r="FR18" s="372"/>
      <c r="FS18" s="372"/>
      <c r="FT18" s="372"/>
      <c r="FU18" s="372"/>
      <c r="FV18" s="372"/>
      <c r="FW18" s="372"/>
      <c r="FX18" s="372"/>
      <c r="FY18" s="372"/>
      <c r="FZ18" s="372"/>
      <c r="GA18" s="372"/>
      <c r="GB18" s="372"/>
      <c r="GC18" s="372"/>
      <c r="GD18" s="372"/>
      <c r="GE18" s="372"/>
      <c r="GF18" s="372"/>
      <c r="GG18" s="372"/>
      <c r="GH18" s="372"/>
      <c r="GI18" s="372"/>
      <c r="GJ18" s="372"/>
      <c r="GK18" s="372"/>
      <c r="GL18" s="372"/>
      <c r="GM18" s="372"/>
      <c r="GN18" s="372"/>
      <c r="GO18" s="372"/>
      <c r="GP18" s="372"/>
      <c r="GQ18" s="372"/>
      <c r="GR18" s="372"/>
      <c r="GS18" s="372"/>
      <c r="GT18" s="372"/>
      <c r="GU18" s="372"/>
      <c r="GV18" s="372"/>
      <c r="GW18" s="372"/>
      <c r="GX18" s="372"/>
      <c r="GY18" s="372"/>
      <c r="GZ18" s="372"/>
      <c r="HA18" s="372"/>
      <c r="HB18" s="372"/>
      <c r="HC18" s="372"/>
      <c r="HD18" s="372"/>
      <c r="HE18" s="372"/>
      <c r="HF18" s="372"/>
      <c r="HG18" s="372"/>
      <c r="HH18" s="372"/>
      <c r="HI18" s="372"/>
      <c r="HJ18" s="372"/>
      <c r="HK18" s="372"/>
      <c r="HL18" s="372"/>
      <c r="HM18" s="372"/>
      <c r="HN18" s="372"/>
      <c r="HO18" s="372"/>
      <c r="HP18" s="372"/>
      <c r="HQ18" s="372"/>
      <c r="HR18" s="372"/>
      <c r="HS18" s="372"/>
      <c r="HT18" s="372"/>
      <c r="HU18" s="372"/>
      <c r="HV18" s="372"/>
      <c r="HW18" s="372"/>
      <c r="HX18" s="372"/>
      <c r="HY18" s="372"/>
      <c r="HZ18" s="372"/>
      <c r="IA18" s="372"/>
      <c r="IB18" s="372"/>
      <c r="IC18" s="372"/>
      <c r="ID18" s="372"/>
      <c r="IE18" s="372"/>
      <c r="IF18" s="372"/>
      <c r="IG18" s="372"/>
      <c r="IH18" s="372"/>
      <c r="II18" s="372"/>
      <c r="IJ18" s="372"/>
      <c r="IK18" s="372"/>
      <c r="IL18" s="372"/>
      <c r="IM18" s="372"/>
      <c r="IN18" s="372"/>
      <c r="IO18" s="372"/>
      <c r="IP18" s="372"/>
      <c r="IQ18" s="372"/>
      <c r="IR18" s="372"/>
      <c r="IS18" s="372"/>
      <c r="IT18" s="372"/>
      <c r="IU18" s="372"/>
      <c r="IV18" s="372"/>
    </row>
    <row r="19" spans="1:256" s="400" customFormat="1" ht="40.5" customHeight="1">
      <c r="A19" s="533"/>
      <c r="B19" s="533"/>
      <c r="C19" s="393" t="s">
        <v>73</v>
      </c>
      <c r="D19" s="394" t="s">
        <v>75</v>
      </c>
      <c r="E19" s="417" t="s">
        <v>76</v>
      </c>
      <c r="F19" s="394" t="s">
        <v>66</v>
      </c>
      <c r="G19" s="534"/>
      <c r="H19" s="534"/>
      <c r="I19" s="534"/>
      <c r="J19" s="534"/>
      <c r="K19" s="535"/>
      <c r="L19" s="535"/>
      <c r="M19" s="371"/>
      <c r="N19" s="395" t="s">
        <v>147</v>
      </c>
      <c r="O19" s="396"/>
      <c r="P19" s="397" t="s">
        <v>73</v>
      </c>
      <c r="Q19" s="397" t="s">
        <v>75</v>
      </c>
      <c r="R19" s="397" t="s">
        <v>76</v>
      </c>
      <c r="S19" s="397" t="s">
        <v>66</v>
      </c>
      <c r="T19" s="398"/>
      <c r="U19" s="395"/>
      <c r="V19" s="395"/>
      <c r="W19" s="395"/>
      <c r="X19" s="395"/>
      <c r="Y19" s="397" t="s">
        <v>73</v>
      </c>
      <c r="Z19" s="397" t="s">
        <v>75</v>
      </c>
      <c r="AA19" s="397" t="s">
        <v>76</v>
      </c>
      <c r="AB19" s="397" t="s">
        <v>66</v>
      </c>
      <c r="AC19" s="397"/>
      <c r="AD19" s="397"/>
      <c r="AE19" s="397"/>
      <c r="AF19" s="397"/>
      <c r="AG19" s="399" t="s">
        <v>86</v>
      </c>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96"/>
      <c r="CO19" s="396"/>
      <c r="CP19" s="396"/>
      <c r="CQ19" s="396"/>
      <c r="CR19" s="396"/>
      <c r="CS19" s="396"/>
      <c r="CT19" s="396"/>
      <c r="CU19" s="396"/>
      <c r="CV19" s="396"/>
      <c r="CW19" s="396"/>
      <c r="CX19" s="396"/>
      <c r="CY19" s="396"/>
      <c r="CZ19" s="396"/>
      <c r="DA19" s="396"/>
      <c r="DB19" s="396"/>
      <c r="DC19" s="396"/>
      <c r="DD19" s="396"/>
      <c r="DE19" s="396"/>
      <c r="DF19" s="396"/>
      <c r="DG19" s="396"/>
      <c r="DH19" s="396"/>
      <c r="DI19" s="396"/>
      <c r="DJ19" s="396"/>
      <c r="DK19" s="396"/>
      <c r="DL19" s="396"/>
      <c r="DM19" s="396"/>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6"/>
      <c r="EK19" s="396"/>
      <c r="EL19" s="396"/>
      <c r="EM19" s="396"/>
      <c r="EN19" s="396"/>
      <c r="EO19" s="396"/>
      <c r="EP19" s="396"/>
      <c r="EQ19" s="396"/>
      <c r="ER19" s="396"/>
      <c r="ES19" s="396"/>
      <c r="ET19" s="396"/>
      <c r="EU19" s="396"/>
      <c r="EV19" s="396"/>
      <c r="EW19" s="396"/>
      <c r="EX19" s="396"/>
      <c r="EY19" s="396"/>
      <c r="EZ19" s="396"/>
      <c r="FA19" s="396"/>
      <c r="FB19" s="396"/>
      <c r="FC19" s="396"/>
      <c r="FD19" s="396"/>
      <c r="FE19" s="396"/>
      <c r="FF19" s="396"/>
      <c r="FG19" s="396"/>
      <c r="FH19" s="396"/>
      <c r="FI19" s="396"/>
      <c r="FJ19" s="396"/>
      <c r="FK19" s="396"/>
      <c r="FL19" s="396"/>
      <c r="FM19" s="396"/>
      <c r="FN19" s="396"/>
      <c r="FO19" s="396"/>
      <c r="FP19" s="396"/>
      <c r="FQ19" s="396"/>
      <c r="FR19" s="396"/>
      <c r="FS19" s="396"/>
      <c r="FT19" s="396"/>
      <c r="FU19" s="396"/>
      <c r="FV19" s="396"/>
      <c r="FW19" s="396"/>
      <c r="FX19" s="396"/>
      <c r="FY19" s="396"/>
      <c r="FZ19" s="396"/>
      <c r="GA19" s="396"/>
      <c r="GB19" s="396"/>
      <c r="GC19" s="396"/>
      <c r="GD19" s="396"/>
      <c r="GE19" s="396"/>
      <c r="GF19" s="396"/>
      <c r="GG19" s="396"/>
      <c r="GH19" s="396"/>
      <c r="GI19" s="396"/>
      <c r="GJ19" s="396"/>
      <c r="GK19" s="396"/>
      <c r="GL19" s="396"/>
      <c r="GM19" s="396"/>
      <c r="GN19" s="396"/>
      <c r="GO19" s="396"/>
      <c r="GP19" s="396"/>
      <c r="GQ19" s="396"/>
      <c r="GR19" s="396"/>
      <c r="GS19" s="396"/>
      <c r="GT19" s="396"/>
      <c r="GU19" s="396"/>
      <c r="GV19" s="396"/>
      <c r="GW19" s="396"/>
      <c r="GX19" s="396"/>
      <c r="GY19" s="396"/>
      <c r="GZ19" s="396"/>
      <c r="HA19" s="396"/>
      <c r="HB19" s="396"/>
      <c r="HC19" s="396"/>
      <c r="HD19" s="396"/>
      <c r="HE19" s="396"/>
      <c r="HF19" s="396"/>
      <c r="HG19" s="396"/>
      <c r="HH19" s="396"/>
      <c r="HI19" s="396"/>
      <c r="HJ19" s="396"/>
      <c r="HK19" s="396"/>
      <c r="HL19" s="396"/>
      <c r="HM19" s="396"/>
      <c r="HN19" s="396"/>
      <c r="HO19" s="396"/>
      <c r="HP19" s="396"/>
      <c r="HQ19" s="396"/>
      <c r="HR19" s="396"/>
      <c r="HS19" s="396"/>
      <c r="HT19" s="396"/>
      <c r="HU19" s="396"/>
      <c r="HV19" s="396"/>
      <c r="HW19" s="396"/>
      <c r="HX19" s="396"/>
      <c r="HY19" s="396"/>
      <c r="HZ19" s="396"/>
      <c r="IA19" s="396"/>
      <c r="IB19" s="396"/>
      <c r="IC19" s="396"/>
      <c r="ID19" s="396"/>
      <c r="IE19" s="396"/>
      <c r="IF19" s="396"/>
      <c r="IG19" s="396"/>
      <c r="IH19" s="396"/>
      <c r="II19" s="396"/>
      <c r="IJ19" s="396"/>
      <c r="IK19" s="396"/>
      <c r="IL19" s="396"/>
      <c r="IM19" s="396"/>
      <c r="IN19" s="396"/>
      <c r="IO19" s="396"/>
      <c r="IP19" s="396"/>
      <c r="IQ19" s="396"/>
      <c r="IR19" s="396"/>
      <c r="IS19" s="396"/>
      <c r="IT19" s="396"/>
      <c r="IU19" s="396"/>
      <c r="IV19" s="396"/>
    </row>
    <row r="20" spans="1:256" ht="72.95" customHeight="1">
      <c r="A20" s="401"/>
      <c r="B20" s="402">
        <v>1</v>
      </c>
      <c r="C20" s="403" t="str">
        <f>UPPER(IF($A20="","",VLOOKUP($A20,'[5]m round robin žrebna lista'!$A$7:$R$128,2)))</f>
        <v/>
      </c>
      <c r="D20" s="404" t="str">
        <f>UPPER(IF($A20="","",VLOOKUP($A20,'[5]m round robin žrebna lista'!$A$7:$R$128,3)))</f>
        <v/>
      </c>
      <c r="E20" s="404" t="str">
        <f>PROPER(IF($A20="","",VLOOKUP($A20,'[5]m round robin žrebna lista'!$A$7:$R$128,4)))</f>
        <v/>
      </c>
      <c r="F20" s="405" t="str">
        <f>UPPER(IF($A20="","",VLOOKUP($A20,'[5]m round robin žrebna lista'!$A$7:$R$128,5)))</f>
        <v/>
      </c>
      <c r="G20" s="406"/>
      <c r="H20" s="407"/>
      <c r="I20" s="407"/>
      <c r="J20" s="407"/>
      <c r="K20" s="408"/>
      <c r="L20" s="408"/>
      <c r="M20" s="409" t="str">
        <f>IF($A20="","",VLOOKUP($A20,'[5]m round robin žrebna lista'!$A$7:$R$128,14))</f>
        <v/>
      </c>
      <c r="N20" s="408" t="str">
        <f>IF(L20="","",IF(L20=1,8,IF(L20=2,6,IF(L20=3,4,2))))</f>
        <v/>
      </c>
      <c r="O20" s="373"/>
      <c r="P20" s="410" t="str">
        <f>UPPER(IF($A20="","",VLOOKUP($A20,'[5]m round robin žrebna lista'!$A$7:$R$128,2)))</f>
        <v/>
      </c>
      <c r="Q20" s="410" t="str">
        <f>UPPER(IF($A20="","",VLOOKUP($A20,'[5]m round robin žrebna lista'!$A$7:$R$128,3)))</f>
        <v/>
      </c>
      <c r="R20" s="410" t="str">
        <f>PROPER(IF($A20="","",VLOOKUP($A20,'[5]m round robin žrebna lista'!$A$7:$R$128,4)))</f>
        <v/>
      </c>
      <c r="S20" s="410" t="str">
        <f>UPPER(IF($A20="","",VLOOKUP($A20,'[5]m round robin žrebna lista'!$A$7:$R$128,5)))</f>
        <v/>
      </c>
      <c r="T20" s="411"/>
      <c r="U20" s="412"/>
      <c r="V20" s="412"/>
      <c r="W20" s="412"/>
      <c r="X20" s="373"/>
      <c r="Y20" s="410" t="str">
        <f>UPPER(IF($A20="","",VLOOKUP($A20,'[5]m round robin žrebna lista'!$A$7:$R$128,2)))</f>
        <v/>
      </c>
      <c r="Z20" s="410" t="str">
        <f>UPPER(IF($A20="","",VLOOKUP($A20,'[5]m round robin žrebna lista'!$A$7:$R$128,3)))</f>
        <v/>
      </c>
      <c r="AA20" s="410" t="str">
        <f>PROPER(IF($A20="","",VLOOKUP($A20,'[5]m round robin žrebna lista'!$A$7:$R$128,4)))</f>
        <v/>
      </c>
      <c r="AB20" s="410" t="str">
        <f>UPPER(IF($A20="","",VLOOKUP($A20,'[5]m round robin žrebna lista'!$A$7:$R$128,5)))</f>
        <v/>
      </c>
      <c r="AC20" s="411"/>
      <c r="AD20" s="412" t="str">
        <f>IF(U20="","",IF(U20="1bb","1bb",IF(U20="2bb","2bb",IF(U20=1,$M21,0))))</f>
        <v/>
      </c>
      <c r="AE20" s="412" t="str">
        <f>IF(V20="","",IF(V20="1bb","1bb",IF(V20="3bb","3bb",IF(V20=1,$M22,0))))</f>
        <v/>
      </c>
      <c r="AF20" s="412" t="str">
        <f>IF(W20="","",IF(W20="1bb","1bb",IF(W20="4bb","4bb",IF(W20=1,$M23,0))))</f>
        <v/>
      </c>
      <c r="AG20" s="418">
        <f>SUM(AD20:AF20)</f>
        <v>0</v>
      </c>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72"/>
      <c r="EV20" s="372"/>
      <c r="EW20" s="372"/>
      <c r="EX20" s="372"/>
      <c r="EY20" s="372"/>
      <c r="EZ20" s="372"/>
      <c r="FA20" s="372"/>
      <c r="FB20" s="372"/>
      <c r="FC20" s="372"/>
      <c r="FD20" s="372"/>
      <c r="FE20" s="372"/>
      <c r="FF20" s="372"/>
      <c r="FG20" s="372"/>
      <c r="FH20" s="372"/>
      <c r="FI20" s="372"/>
      <c r="FJ20" s="372"/>
      <c r="FK20" s="372"/>
      <c r="FL20" s="372"/>
      <c r="FM20" s="372"/>
      <c r="FN20" s="372"/>
      <c r="FO20" s="372"/>
      <c r="FP20" s="372"/>
      <c r="FQ20" s="372"/>
      <c r="FR20" s="372"/>
      <c r="FS20" s="372"/>
      <c r="FT20" s="372"/>
      <c r="FU20" s="372"/>
      <c r="FV20" s="372"/>
      <c r="FW20" s="372"/>
      <c r="FX20" s="372"/>
      <c r="FY20" s="372"/>
      <c r="FZ20" s="372"/>
      <c r="GA20" s="372"/>
      <c r="GB20" s="372"/>
      <c r="GC20" s="372"/>
      <c r="GD20" s="372"/>
      <c r="GE20" s="372"/>
      <c r="GF20" s="372"/>
      <c r="GG20" s="372"/>
      <c r="GH20" s="372"/>
      <c r="GI20" s="372"/>
      <c r="GJ20" s="372"/>
      <c r="GK20" s="372"/>
      <c r="GL20" s="372"/>
      <c r="GM20" s="372"/>
      <c r="GN20" s="372"/>
      <c r="GO20" s="372"/>
      <c r="GP20" s="372"/>
      <c r="GQ20" s="372"/>
      <c r="GR20" s="372"/>
      <c r="GS20" s="372"/>
      <c r="GT20" s="372"/>
      <c r="GU20" s="372"/>
      <c r="GV20" s="372"/>
      <c r="GW20" s="372"/>
      <c r="GX20" s="372"/>
      <c r="GY20" s="372"/>
      <c r="GZ20" s="372"/>
      <c r="HA20" s="372"/>
      <c r="HB20" s="372"/>
      <c r="HC20" s="372"/>
      <c r="HD20" s="372"/>
      <c r="HE20" s="372"/>
      <c r="HF20" s="372"/>
      <c r="HG20" s="372"/>
      <c r="HH20" s="372"/>
      <c r="HI20" s="372"/>
      <c r="HJ20" s="372"/>
      <c r="HK20" s="372"/>
      <c r="HL20" s="372"/>
      <c r="HM20" s="372"/>
      <c r="HN20" s="372"/>
      <c r="HO20" s="372"/>
      <c r="HP20" s="372"/>
      <c r="HQ20" s="372"/>
      <c r="HR20" s="372"/>
      <c r="HS20" s="372"/>
      <c r="HT20" s="372"/>
      <c r="HU20" s="372"/>
      <c r="HV20" s="372"/>
      <c r="HW20" s="372"/>
      <c r="HX20" s="372"/>
      <c r="HY20" s="372"/>
      <c r="HZ20" s="372"/>
      <c r="IA20" s="372"/>
      <c r="IB20" s="372"/>
      <c r="IC20" s="372"/>
      <c r="ID20" s="372"/>
      <c r="IE20" s="372"/>
      <c r="IF20" s="372"/>
      <c r="IG20" s="372"/>
      <c r="IH20" s="372"/>
      <c r="II20" s="372"/>
      <c r="IJ20" s="372"/>
      <c r="IK20" s="372"/>
      <c r="IL20" s="372"/>
      <c r="IM20" s="372"/>
      <c r="IN20" s="372"/>
      <c r="IO20" s="372"/>
      <c r="IP20" s="372"/>
      <c r="IQ20" s="372"/>
      <c r="IR20" s="372"/>
      <c r="IS20" s="372"/>
      <c r="IT20" s="372"/>
      <c r="IU20" s="372"/>
      <c r="IV20" s="372"/>
    </row>
    <row r="21" spans="1:256" ht="72.95" customHeight="1">
      <c r="A21" s="401"/>
      <c r="B21" s="402">
        <v>2</v>
      </c>
      <c r="C21" s="403" t="str">
        <f>UPPER(IF($A21="","",VLOOKUP($A21,'[5]m round robin žrebna lista'!$A$7:$R$128,2)))</f>
        <v/>
      </c>
      <c r="D21" s="404" t="str">
        <f>UPPER(IF($A21="","",VLOOKUP($A21,'[5]m round robin žrebna lista'!$A$7:$R$128,3)))</f>
        <v/>
      </c>
      <c r="E21" s="404" t="str">
        <f>PROPER(IF($A21="","",VLOOKUP($A21,'[5]m round robin žrebna lista'!$A$7:$R$128,4)))</f>
        <v/>
      </c>
      <c r="F21" s="405" t="str">
        <f>UPPER(IF($A21="","",VLOOKUP($A21,'[5]m round robin žrebna lista'!$A$7:$R$128,5)))</f>
        <v/>
      </c>
      <c r="G21" s="407"/>
      <c r="H21" s="406"/>
      <c r="I21" s="407"/>
      <c r="J21" s="407"/>
      <c r="K21" s="408"/>
      <c r="L21" s="408"/>
      <c r="M21" s="409" t="str">
        <f>IF($A21="","",VLOOKUP($A21,'[5]m round robin žrebna lista'!$A$7:$R$128,14))</f>
        <v/>
      </c>
      <c r="N21" s="408" t="str">
        <f>IF(L21="","",IF(L21=1,8,IF(L21=2,6,IF(L21=3,4,2))))</f>
        <v/>
      </c>
      <c r="O21" s="373"/>
      <c r="P21" s="410" t="str">
        <f>UPPER(IF($A21="","",VLOOKUP($A21,'[5]m round robin žrebna lista'!$A$7:$R$128,2)))</f>
        <v/>
      </c>
      <c r="Q21" s="410" t="str">
        <f>UPPER(IF($A21="","",VLOOKUP($A21,'[5]m round robin žrebna lista'!$A$7:$R$128,3)))</f>
        <v/>
      </c>
      <c r="R21" s="410" t="str">
        <f>PROPER(IF($A21="","",VLOOKUP($A21,'[5]m round robin žrebna lista'!$A$7:$R$128,4)))</f>
        <v/>
      </c>
      <c r="S21" s="410" t="str">
        <f>UPPER(IF($A21="","",VLOOKUP($A21,'[5]m round robin žrebna lista'!$A$7:$R$128,5)))</f>
        <v/>
      </c>
      <c r="T21" s="412"/>
      <c r="U21" s="411"/>
      <c r="V21" s="412"/>
      <c r="W21" s="412"/>
      <c r="X21" s="373"/>
      <c r="Y21" s="410" t="str">
        <f>UPPER(IF($A21="","",VLOOKUP($A21,'[5]m round robin žrebna lista'!$A$7:$R$128,2)))</f>
        <v/>
      </c>
      <c r="Z21" s="410" t="str">
        <f>UPPER(IF($A21="","",VLOOKUP($A21,'[5]m round robin žrebna lista'!$A$7:$R$128,3)))</f>
        <v/>
      </c>
      <c r="AA21" s="410" t="str">
        <f>PROPER(IF($A21="","",VLOOKUP($A21,'[5]m round robin žrebna lista'!$A$7:$R$128,4)))</f>
        <v/>
      </c>
      <c r="AB21" s="410" t="str">
        <f>UPPER(IF($A21="","",VLOOKUP($A21,'[5]m round robin žrebna lista'!$A$7:$R$128,5)))</f>
        <v/>
      </c>
      <c r="AC21" s="412" t="str">
        <f>IF(T21="","",IF(T21="1bb","1bb",IF(T21="2bb","2bb",IF(T21=1,0,M20))))</f>
        <v/>
      </c>
      <c r="AD21" s="411"/>
      <c r="AE21" s="412" t="str">
        <f>IF(V21="","",IF(V21="2bb","2bb",IF(V21="3bb","3bb",IF(V21=2,M22,0))))</f>
        <v/>
      </c>
      <c r="AF21" s="412" t="str">
        <f>IF(W21="","",IF(W21="2bb","2bb",IF(W21="4bb","4bb",IF(W21=2,M23,0))))</f>
        <v/>
      </c>
      <c r="AG21" s="418">
        <f>SUM(AC21:AF21)</f>
        <v>0</v>
      </c>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2"/>
      <c r="CS21" s="372"/>
      <c r="CT21" s="372"/>
      <c r="CU21" s="372"/>
      <c r="CV21" s="372"/>
      <c r="CW21" s="372"/>
      <c r="CX21" s="372"/>
      <c r="CY21" s="372"/>
      <c r="CZ21" s="372"/>
      <c r="DA21" s="372"/>
      <c r="DB21" s="372"/>
      <c r="DC21" s="372"/>
      <c r="DD21" s="372"/>
      <c r="DE21" s="372"/>
      <c r="DF21" s="372"/>
      <c r="DG21" s="372"/>
      <c r="DH21" s="372"/>
      <c r="DI21" s="372"/>
      <c r="DJ21" s="372"/>
      <c r="DK21" s="372"/>
      <c r="DL21" s="372"/>
      <c r="DM21" s="372"/>
      <c r="DN21" s="372"/>
      <c r="DO21" s="372"/>
      <c r="DP21" s="372"/>
      <c r="DQ21" s="372"/>
      <c r="DR21" s="372"/>
      <c r="DS21" s="372"/>
      <c r="DT21" s="372"/>
      <c r="DU21" s="372"/>
      <c r="DV21" s="372"/>
      <c r="DW21" s="372"/>
      <c r="DX21" s="372"/>
      <c r="DY21" s="372"/>
      <c r="DZ21" s="372"/>
      <c r="EA21" s="372"/>
      <c r="EB21" s="372"/>
      <c r="EC21" s="372"/>
      <c r="ED21" s="372"/>
      <c r="EE21" s="372"/>
      <c r="EF21" s="372"/>
      <c r="EG21" s="372"/>
      <c r="EH21" s="372"/>
      <c r="EI21" s="372"/>
      <c r="EJ21" s="372"/>
      <c r="EK21" s="372"/>
      <c r="EL21" s="372"/>
      <c r="EM21" s="372"/>
      <c r="EN21" s="372"/>
      <c r="EO21" s="372"/>
      <c r="EP21" s="372"/>
      <c r="EQ21" s="372"/>
      <c r="ER21" s="372"/>
      <c r="ES21" s="372"/>
      <c r="ET21" s="372"/>
      <c r="EU21" s="372"/>
      <c r="EV21" s="372"/>
      <c r="EW21" s="372"/>
      <c r="EX21" s="372"/>
      <c r="EY21" s="372"/>
      <c r="EZ21" s="372"/>
      <c r="FA21" s="372"/>
      <c r="FB21" s="372"/>
      <c r="FC21" s="372"/>
      <c r="FD21" s="372"/>
      <c r="FE21" s="372"/>
      <c r="FF21" s="372"/>
      <c r="FG21" s="372"/>
      <c r="FH21" s="372"/>
      <c r="FI21" s="372"/>
      <c r="FJ21" s="372"/>
      <c r="FK21" s="372"/>
      <c r="FL21" s="372"/>
      <c r="FM21" s="372"/>
      <c r="FN21" s="372"/>
      <c r="FO21" s="372"/>
      <c r="FP21" s="372"/>
      <c r="FQ21" s="372"/>
      <c r="FR21" s="372"/>
      <c r="FS21" s="372"/>
      <c r="FT21" s="372"/>
      <c r="FU21" s="372"/>
      <c r="FV21" s="372"/>
      <c r="FW21" s="372"/>
      <c r="FX21" s="372"/>
      <c r="FY21" s="372"/>
      <c r="FZ21" s="372"/>
      <c r="GA21" s="372"/>
      <c r="GB21" s="372"/>
      <c r="GC21" s="372"/>
      <c r="GD21" s="372"/>
      <c r="GE21" s="372"/>
      <c r="GF21" s="372"/>
      <c r="GG21" s="372"/>
      <c r="GH21" s="372"/>
      <c r="GI21" s="372"/>
      <c r="GJ21" s="372"/>
      <c r="GK21" s="372"/>
      <c r="GL21" s="372"/>
      <c r="GM21" s="372"/>
      <c r="GN21" s="372"/>
      <c r="GO21" s="372"/>
      <c r="GP21" s="372"/>
      <c r="GQ21" s="372"/>
      <c r="GR21" s="372"/>
      <c r="GS21" s="372"/>
      <c r="GT21" s="372"/>
      <c r="GU21" s="372"/>
      <c r="GV21" s="372"/>
      <c r="GW21" s="372"/>
      <c r="GX21" s="372"/>
      <c r="GY21" s="372"/>
      <c r="GZ21" s="372"/>
      <c r="HA21" s="372"/>
      <c r="HB21" s="372"/>
      <c r="HC21" s="372"/>
      <c r="HD21" s="372"/>
      <c r="HE21" s="372"/>
      <c r="HF21" s="372"/>
      <c r="HG21" s="372"/>
      <c r="HH21" s="372"/>
      <c r="HI21" s="372"/>
      <c r="HJ21" s="372"/>
      <c r="HK21" s="372"/>
      <c r="HL21" s="372"/>
      <c r="HM21" s="372"/>
      <c r="HN21" s="372"/>
      <c r="HO21" s="372"/>
      <c r="HP21" s="372"/>
      <c r="HQ21" s="372"/>
      <c r="HR21" s="372"/>
      <c r="HS21" s="372"/>
      <c r="HT21" s="372"/>
      <c r="HU21" s="372"/>
      <c r="HV21" s="372"/>
      <c r="HW21" s="372"/>
      <c r="HX21" s="372"/>
      <c r="HY21" s="372"/>
      <c r="HZ21" s="372"/>
      <c r="IA21" s="372"/>
      <c r="IB21" s="372"/>
      <c r="IC21" s="372"/>
      <c r="ID21" s="372"/>
      <c r="IE21" s="372"/>
      <c r="IF21" s="372"/>
      <c r="IG21" s="372"/>
      <c r="IH21" s="372"/>
      <c r="II21" s="372"/>
      <c r="IJ21" s="372"/>
      <c r="IK21" s="372"/>
      <c r="IL21" s="372"/>
      <c r="IM21" s="372"/>
      <c r="IN21" s="372"/>
      <c r="IO21" s="372"/>
      <c r="IP21" s="372"/>
      <c r="IQ21" s="372"/>
      <c r="IR21" s="372"/>
      <c r="IS21" s="372"/>
      <c r="IT21" s="372"/>
      <c r="IU21" s="372"/>
      <c r="IV21" s="372"/>
    </row>
    <row r="22" spans="1:256" ht="72.95" customHeight="1">
      <c r="A22" s="401"/>
      <c r="B22" s="402">
        <v>3</v>
      </c>
      <c r="C22" s="403" t="str">
        <f>UPPER(IF($A22="","",VLOOKUP($A22,'[5]m round robin žrebna lista'!$A$7:$R$128,2)))</f>
        <v/>
      </c>
      <c r="D22" s="404" t="str">
        <f>UPPER(IF($A22="","",VLOOKUP($A22,'[5]m round robin žrebna lista'!$A$7:$R$128,3)))</f>
        <v/>
      </c>
      <c r="E22" s="404" t="str">
        <f>PROPER(IF($A22="","",VLOOKUP($A22,'[5]m round robin žrebna lista'!$A$7:$R$128,4)))</f>
        <v/>
      </c>
      <c r="F22" s="405" t="str">
        <f>UPPER(IF($A22="","",VLOOKUP($A22,'[5]m round robin žrebna lista'!$A$7:$R$128,5)))</f>
        <v/>
      </c>
      <c r="G22" s="407"/>
      <c r="H22" s="407"/>
      <c r="I22" s="406"/>
      <c r="J22" s="407"/>
      <c r="K22" s="408"/>
      <c r="L22" s="408"/>
      <c r="M22" s="409" t="str">
        <f>IF($A22="","",VLOOKUP($A22,'[5]m round robin žrebna lista'!$A$7:$R$128,14))</f>
        <v/>
      </c>
      <c r="N22" s="408" t="str">
        <f>IF(L22="","",IF(L22=1,8,IF(L22=2,6,IF(L22=3,4,2))))</f>
        <v/>
      </c>
      <c r="O22" s="373"/>
      <c r="P22" s="410" t="str">
        <f>UPPER(IF($A22="","",VLOOKUP($A22,'[5]m round robin žrebna lista'!$A$7:$R$128,2)))</f>
        <v/>
      </c>
      <c r="Q22" s="410" t="str">
        <f>UPPER(IF($A22="","",VLOOKUP($A22,'[5]m round robin žrebna lista'!$A$7:$R$128,3)))</f>
        <v/>
      </c>
      <c r="R22" s="410" t="str">
        <f>PROPER(IF($A22="","",VLOOKUP($A22,'[5]m round robin žrebna lista'!$A$7:$R$128,4)))</f>
        <v/>
      </c>
      <c r="S22" s="410" t="str">
        <f>UPPER(IF($A22="","",VLOOKUP($A22,'[5]m round robin žrebna lista'!$A$7:$R$128,5)))</f>
        <v/>
      </c>
      <c r="T22" s="412"/>
      <c r="U22" s="412"/>
      <c r="V22" s="411"/>
      <c r="W22" s="412"/>
      <c r="X22" s="373"/>
      <c r="Y22" s="410" t="str">
        <f>UPPER(IF($A22="","",VLOOKUP($A22,'[5]m round robin žrebna lista'!$A$7:$R$128,2)))</f>
        <v/>
      </c>
      <c r="Z22" s="410" t="str">
        <f>UPPER(IF($A22="","",VLOOKUP($A22,'[5]m round robin žrebna lista'!$A$7:$R$128,3)))</f>
        <v/>
      </c>
      <c r="AA22" s="410" t="str">
        <f>PROPER(IF($A22="","",VLOOKUP($A22,'[5]m round robin žrebna lista'!$A$7:$R$128,4)))</f>
        <v/>
      </c>
      <c r="AB22" s="410" t="str">
        <f>UPPER(IF($A22="","",VLOOKUP($A22,'[5]m round robin žrebna lista'!$A$7:$R$128,5)))</f>
        <v/>
      </c>
      <c r="AC22" s="412" t="str">
        <f>IF(T22="","",IF(T22="1bb","1bb",IF(T22="3bb","3bb",IF(T22=1,0,M20))))</f>
        <v/>
      </c>
      <c r="AD22" s="412" t="str">
        <f>IF(U22="","",IF(U22="2bb","2bb",IF(U22="3bb","3bb",IF(U22=2,0,M21))))</f>
        <v/>
      </c>
      <c r="AE22" s="411"/>
      <c r="AF22" s="412" t="str">
        <f>IF(W22="","",IF(W22="3bb","3bb",IF(W22="4bb","4bb",IF(W22=3,M23,0))))</f>
        <v/>
      </c>
      <c r="AG22" s="418">
        <f>SUM(AC22:AF22)</f>
        <v>0</v>
      </c>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c r="BZ22" s="372"/>
      <c r="CA22" s="372"/>
      <c r="CB22" s="372"/>
      <c r="CC22" s="372"/>
      <c r="CD22" s="372"/>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372"/>
      <c r="ED22" s="372"/>
      <c r="EE22" s="372"/>
      <c r="EF22" s="372"/>
      <c r="EG22" s="372"/>
      <c r="EH22" s="372"/>
      <c r="EI22" s="372"/>
      <c r="EJ22" s="372"/>
      <c r="EK22" s="372"/>
      <c r="EL22" s="372"/>
      <c r="EM22" s="372"/>
      <c r="EN22" s="372"/>
      <c r="EO22" s="372"/>
      <c r="EP22" s="372"/>
      <c r="EQ22" s="372"/>
      <c r="ER22" s="372"/>
      <c r="ES22" s="372"/>
      <c r="ET22" s="372"/>
      <c r="EU22" s="372"/>
      <c r="EV22" s="372"/>
      <c r="EW22" s="372"/>
      <c r="EX22" s="372"/>
      <c r="EY22" s="372"/>
      <c r="EZ22" s="372"/>
      <c r="FA22" s="372"/>
      <c r="FB22" s="372"/>
      <c r="FC22" s="372"/>
      <c r="FD22" s="372"/>
      <c r="FE22" s="372"/>
      <c r="FF22" s="372"/>
      <c r="FG22" s="372"/>
      <c r="FH22" s="372"/>
      <c r="FI22" s="372"/>
      <c r="FJ22" s="372"/>
      <c r="FK22" s="372"/>
      <c r="FL22" s="372"/>
      <c r="FM22" s="372"/>
      <c r="FN22" s="372"/>
      <c r="FO22" s="372"/>
      <c r="FP22" s="372"/>
      <c r="FQ22" s="372"/>
      <c r="FR22" s="372"/>
      <c r="FS22" s="372"/>
      <c r="FT22" s="372"/>
      <c r="FU22" s="372"/>
      <c r="FV22" s="372"/>
      <c r="FW22" s="372"/>
      <c r="FX22" s="372"/>
      <c r="FY22" s="372"/>
      <c r="FZ22" s="372"/>
      <c r="GA22" s="372"/>
      <c r="GB22" s="372"/>
      <c r="GC22" s="372"/>
      <c r="GD22" s="372"/>
      <c r="GE22" s="372"/>
      <c r="GF22" s="372"/>
      <c r="GG22" s="372"/>
      <c r="GH22" s="372"/>
      <c r="GI22" s="372"/>
      <c r="GJ22" s="372"/>
      <c r="GK22" s="372"/>
      <c r="GL22" s="372"/>
      <c r="GM22" s="372"/>
      <c r="GN22" s="372"/>
      <c r="GO22" s="372"/>
      <c r="GP22" s="372"/>
      <c r="GQ22" s="372"/>
      <c r="GR22" s="372"/>
      <c r="GS22" s="372"/>
      <c r="GT22" s="372"/>
      <c r="GU22" s="372"/>
      <c r="GV22" s="372"/>
      <c r="GW22" s="372"/>
      <c r="GX22" s="372"/>
      <c r="GY22" s="372"/>
      <c r="GZ22" s="372"/>
      <c r="HA22" s="372"/>
      <c r="HB22" s="372"/>
      <c r="HC22" s="372"/>
      <c r="HD22" s="372"/>
      <c r="HE22" s="372"/>
      <c r="HF22" s="372"/>
      <c r="HG22" s="372"/>
      <c r="HH22" s="372"/>
      <c r="HI22" s="372"/>
      <c r="HJ22" s="372"/>
      <c r="HK22" s="372"/>
      <c r="HL22" s="372"/>
      <c r="HM22" s="372"/>
      <c r="HN22" s="372"/>
      <c r="HO22" s="372"/>
      <c r="HP22" s="372"/>
      <c r="HQ22" s="372"/>
      <c r="HR22" s="372"/>
      <c r="HS22" s="372"/>
      <c r="HT22" s="372"/>
      <c r="HU22" s="372"/>
      <c r="HV22" s="372"/>
      <c r="HW22" s="372"/>
      <c r="HX22" s="372"/>
      <c r="HY22" s="372"/>
      <c r="HZ22" s="372"/>
      <c r="IA22" s="372"/>
      <c r="IB22" s="372"/>
      <c r="IC22" s="372"/>
      <c r="ID22" s="372"/>
      <c r="IE22" s="372"/>
      <c r="IF22" s="372"/>
      <c r="IG22" s="372"/>
      <c r="IH22" s="372"/>
      <c r="II22" s="372"/>
      <c r="IJ22" s="372"/>
      <c r="IK22" s="372"/>
      <c r="IL22" s="372"/>
      <c r="IM22" s="372"/>
      <c r="IN22" s="372"/>
      <c r="IO22" s="372"/>
      <c r="IP22" s="372"/>
      <c r="IQ22" s="372"/>
      <c r="IR22" s="372"/>
      <c r="IS22" s="372"/>
      <c r="IT22" s="372"/>
      <c r="IU22" s="372"/>
      <c r="IV22" s="372"/>
    </row>
    <row r="23" spans="1:256" ht="72.95" customHeight="1">
      <c r="A23" s="401"/>
      <c r="B23" s="402">
        <v>4</v>
      </c>
      <c r="C23" s="403" t="str">
        <f>UPPER(IF($A23="","",VLOOKUP($A23,'[5]m round robin žrebna lista'!$A$7:$R$128,2)))</f>
        <v/>
      </c>
      <c r="D23" s="404" t="str">
        <f>UPPER(IF($A23="","",VLOOKUP($A23,'[5]m round robin žrebna lista'!$A$7:$R$128,3)))</f>
        <v/>
      </c>
      <c r="E23" s="404" t="str">
        <f>PROPER(IF($A23="","",VLOOKUP($A23,'[5]m round robin žrebna lista'!$A$7:$R$128,4)))</f>
        <v/>
      </c>
      <c r="F23" s="405" t="str">
        <f>UPPER(IF($A23="","",VLOOKUP($A23,'[5]m round robin žrebna lista'!$A$7:$R$128,5)))</f>
        <v/>
      </c>
      <c r="G23" s="407"/>
      <c r="H23" s="407"/>
      <c r="I23" s="407"/>
      <c r="J23" s="406"/>
      <c r="K23" s="408"/>
      <c r="L23" s="408"/>
      <c r="M23" s="409" t="str">
        <f>IF($A23="","",VLOOKUP($A23,'[5]m round robin žrebna lista'!$A$7:$R$128,14))</f>
        <v/>
      </c>
      <c r="N23" s="408" t="str">
        <f>IF(L23="","",IF(L23=1,8,IF(L23=2,6,IF(L23=3,4,2))))</f>
        <v/>
      </c>
      <c r="O23" s="373"/>
      <c r="P23" s="410" t="str">
        <f>UPPER(IF($A23="","",VLOOKUP($A23,'[5]m round robin žrebna lista'!$A$7:$R$128,2)))</f>
        <v/>
      </c>
      <c r="Q23" s="410" t="str">
        <f>UPPER(IF($A23="","",VLOOKUP($A23,'[5]m round robin žrebna lista'!$A$7:$R$128,3)))</f>
        <v/>
      </c>
      <c r="R23" s="410" t="str">
        <f>PROPER(IF($A23="","",VLOOKUP($A23,'[5]m round robin žrebna lista'!$A$7:$R$128,4)))</f>
        <v/>
      </c>
      <c r="S23" s="410" t="str">
        <f>UPPER(IF($A23="","",VLOOKUP($A23,'[5]m round robin žrebna lista'!$A$7:$R$128,5)))</f>
        <v/>
      </c>
      <c r="T23" s="412"/>
      <c r="U23" s="412"/>
      <c r="V23" s="412"/>
      <c r="W23" s="411"/>
      <c r="X23" s="373"/>
      <c r="Y23" s="410" t="str">
        <f>UPPER(IF($A23="","",VLOOKUP($A23,'[5]m round robin žrebna lista'!$A$7:$R$128,2)))</f>
        <v/>
      </c>
      <c r="Z23" s="410" t="str">
        <f>UPPER(IF($A23="","",VLOOKUP($A23,'[5]m round robin žrebna lista'!$A$7:$R$128,3)))</f>
        <v/>
      </c>
      <c r="AA23" s="410" t="str">
        <f>PROPER(IF($A23="","",VLOOKUP($A23,'[5]m round robin žrebna lista'!$A$7:$R$128,4)))</f>
        <v/>
      </c>
      <c r="AB23" s="410" t="str">
        <f>UPPER(IF($A23="","",VLOOKUP($A23,'[5]m round robin žrebna lista'!$A$7:$R$128,5)))</f>
        <v/>
      </c>
      <c r="AC23" s="412" t="str">
        <f>IF(T23="","",IF(T23="1bb","1bb",IF(T23="4bb","4bb",IF(T23=1,0,M20))))</f>
        <v/>
      </c>
      <c r="AD23" s="412" t="str">
        <f>IF(U23="","",IF(U23="2bb","2bb",IF(U23="4bb","4bb",IF(U23=2,0,M21))))</f>
        <v/>
      </c>
      <c r="AE23" s="412" t="str">
        <f>IF(V23="","",IF(V23="3bb","3bb",IF(V23="4bb","4bb",IF(V23=3,0,M22))))</f>
        <v/>
      </c>
      <c r="AF23" s="411"/>
      <c r="AG23" s="418">
        <f>SUM(AC23:AE23)</f>
        <v>0</v>
      </c>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72"/>
      <c r="CO23" s="372"/>
      <c r="CP23" s="372"/>
      <c r="CQ23" s="372"/>
      <c r="CR23" s="372"/>
      <c r="CS23" s="372"/>
      <c r="CT23" s="372"/>
      <c r="CU23" s="372"/>
      <c r="CV23" s="372"/>
      <c r="CW23" s="372"/>
      <c r="CX23" s="372"/>
      <c r="CY23" s="372"/>
      <c r="CZ23" s="372"/>
      <c r="DA23" s="372"/>
      <c r="DB23" s="372"/>
      <c r="DC23" s="372"/>
      <c r="DD23" s="372"/>
      <c r="DE23" s="372"/>
      <c r="DF23" s="372"/>
      <c r="DG23" s="372"/>
      <c r="DH23" s="372"/>
      <c r="DI23" s="372"/>
      <c r="DJ23" s="372"/>
      <c r="DK23" s="372"/>
      <c r="DL23" s="372"/>
      <c r="DM23" s="372"/>
      <c r="DN23" s="372"/>
      <c r="DO23" s="372"/>
      <c r="DP23" s="372"/>
      <c r="DQ23" s="372"/>
      <c r="DR23" s="372"/>
      <c r="DS23" s="372"/>
      <c r="DT23" s="372"/>
      <c r="DU23" s="372"/>
      <c r="DV23" s="372"/>
      <c r="DW23" s="372"/>
      <c r="DX23" s="372"/>
      <c r="DY23" s="372"/>
      <c r="DZ23" s="372"/>
      <c r="EA23" s="372"/>
      <c r="EB23" s="372"/>
      <c r="EC23" s="372"/>
      <c r="ED23" s="372"/>
      <c r="EE23" s="372"/>
      <c r="EF23" s="372"/>
      <c r="EG23" s="372"/>
      <c r="EH23" s="372"/>
      <c r="EI23" s="372"/>
      <c r="EJ23" s="372"/>
      <c r="EK23" s="372"/>
      <c r="EL23" s="372"/>
      <c r="EM23" s="372"/>
      <c r="EN23" s="372"/>
      <c r="EO23" s="372"/>
      <c r="EP23" s="372"/>
      <c r="EQ23" s="372"/>
      <c r="ER23" s="372"/>
      <c r="ES23" s="372"/>
      <c r="ET23" s="372"/>
      <c r="EU23" s="372"/>
      <c r="EV23" s="372"/>
      <c r="EW23" s="372"/>
      <c r="EX23" s="372"/>
      <c r="EY23" s="372"/>
      <c r="EZ23" s="372"/>
      <c r="FA23" s="372"/>
      <c r="FB23" s="372"/>
      <c r="FC23" s="372"/>
      <c r="FD23" s="372"/>
      <c r="FE23" s="372"/>
      <c r="FF23" s="372"/>
      <c r="FG23" s="372"/>
      <c r="FH23" s="372"/>
      <c r="FI23" s="372"/>
      <c r="FJ23" s="372"/>
      <c r="FK23" s="372"/>
      <c r="FL23" s="372"/>
      <c r="FM23" s="372"/>
      <c r="FN23" s="372"/>
      <c r="FO23" s="372"/>
      <c r="FP23" s="372"/>
      <c r="FQ23" s="372"/>
      <c r="FR23" s="372"/>
      <c r="FS23" s="372"/>
      <c r="FT23" s="372"/>
      <c r="FU23" s="372"/>
      <c r="FV23" s="372"/>
      <c r="FW23" s="372"/>
      <c r="FX23" s="372"/>
      <c r="FY23" s="372"/>
      <c r="FZ23" s="372"/>
      <c r="GA23" s="372"/>
      <c r="GB23" s="372"/>
      <c r="GC23" s="372"/>
      <c r="GD23" s="372"/>
      <c r="GE23" s="372"/>
      <c r="GF23" s="372"/>
      <c r="GG23" s="372"/>
      <c r="GH23" s="372"/>
      <c r="GI23" s="372"/>
      <c r="GJ23" s="372"/>
      <c r="GK23" s="372"/>
      <c r="GL23" s="372"/>
      <c r="GM23" s="372"/>
      <c r="GN23" s="372"/>
      <c r="GO23" s="372"/>
      <c r="GP23" s="372"/>
      <c r="GQ23" s="372"/>
      <c r="GR23" s="372"/>
      <c r="GS23" s="372"/>
      <c r="GT23" s="372"/>
      <c r="GU23" s="372"/>
      <c r="GV23" s="372"/>
      <c r="GW23" s="372"/>
      <c r="GX23" s="372"/>
      <c r="GY23" s="372"/>
      <c r="GZ23" s="372"/>
      <c r="HA23" s="372"/>
      <c r="HB23" s="372"/>
      <c r="HC23" s="372"/>
      <c r="HD23" s="372"/>
      <c r="HE23" s="372"/>
      <c r="HF23" s="372"/>
      <c r="HG23" s="372"/>
      <c r="HH23" s="372"/>
      <c r="HI23" s="372"/>
      <c r="HJ23" s="372"/>
      <c r="HK23" s="372"/>
      <c r="HL23" s="372"/>
      <c r="HM23" s="372"/>
      <c r="HN23" s="372"/>
      <c r="HO23" s="372"/>
      <c r="HP23" s="372"/>
      <c r="HQ23" s="372"/>
      <c r="HR23" s="372"/>
      <c r="HS23" s="372"/>
      <c r="HT23" s="372"/>
      <c r="HU23" s="372"/>
      <c r="HV23" s="372"/>
      <c r="HW23" s="372"/>
      <c r="HX23" s="372"/>
      <c r="HY23" s="372"/>
      <c r="HZ23" s="372"/>
      <c r="IA23" s="372"/>
      <c r="IB23" s="372"/>
      <c r="IC23" s="372"/>
      <c r="ID23" s="372"/>
      <c r="IE23" s="372"/>
      <c r="IF23" s="372"/>
      <c r="IG23" s="372"/>
      <c r="IH23" s="372"/>
      <c r="II23" s="372"/>
      <c r="IJ23" s="372"/>
      <c r="IK23" s="372"/>
      <c r="IL23" s="372"/>
      <c r="IM23" s="372"/>
      <c r="IN23" s="372"/>
      <c r="IO23" s="372"/>
      <c r="IP23" s="372"/>
      <c r="IQ23" s="372"/>
      <c r="IR23" s="372"/>
      <c r="IS23" s="372"/>
      <c r="IT23" s="372"/>
      <c r="IU23" s="372"/>
      <c r="IV23" s="372"/>
    </row>
    <row r="24" spans="1:256" ht="112.5" customHeight="1">
      <c r="A24" s="536"/>
      <c r="B24" s="536"/>
      <c r="C24" s="537"/>
      <c r="D24" s="537"/>
      <c r="E24" s="419"/>
      <c r="F24" s="420" t="s">
        <v>119</v>
      </c>
      <c r="G24" s="421" t="str">
        <f>'[5]vnos podatkov'!$B$10</f>
        <v>LUKA ZALAZNIK</v>
      </c>
      <c r="H24" s="421"/>
      <c r="I24" s="421"/>
      <c r="J24" s="422" t="s">
        <v>150</v>
      </c>
      <c r="K24" s="538"/>
      <c r="L24" s="538"/>
      <c r="M24" s="371"/>
      <c r="N24" s="372"/>
      <c r="O24" s="372"/>
      <c r="P24" s="373"/>
      <c r="Q24" s="373"/>
      <c r="R24" s="373"/>
      <c r="S24" s="373"/>
      <c r="T24" s="373"/>
      <c r="U24" s="373"/>
      <c r="V24" s="373"/>
      <c r="W24" s="373"/>
      <c r="X24" s="373"/>
      <c r="Y24" s="373"/>
      <c r="Z24" s="373"/>
      <c r="AA24" s="373"/>
      <c r="AB24" s="373"/>
      <c r="AC24" s="373"/>
      <c r="AD24" s="373"/>
      <c r="AE24" s="373"/>
      <c r="AF24" s="373"/>
      <c r="AG24" s="373"/>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2"/>
      <c r="CU24" s="372"/>
      <c r="CV24" s="372"/>
      <c r="CW24" s="372"/>
      <c r="CX24" s="372"/>
      <c r="CY24" s="372"/>
      <c r="CZ24" s="372"/>
      <c r="DA24" s="372"/>
      <c r="DB24" s="372"/>
      <c r="DC24" s="372"/>
      <c r="DD24" s="372"/>
      <c r="DE24" s="372"/>
      <c r="DF24" s="372"/>
      <c r="DG24" s="372"/>
      <c r="DH24" s="372"/>
      <c r="DI24" s="372"/>
      <c r="DJ24" s="372"/>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2"/>
      <c r="EM24" s="372"/>
      <c r="EN24" s="372"/>
      <c r="EO24" s="372"/>
      <c r="EP24" s="372"/>
      <c r="EQ24" s="372"/>
      <c r="ER24" s="372"/>
      <c r="ES24" s="372"/>
      <c r="ET24" s="372"/>
      <c r="EU24" s="372"/>
      <c r="EV24" s="372"/>
      <c r="EW24" s="372"/>
      <c r="EX24" s="372"/>
      <c r="EY24" s="372"/>
      <c r="EZ24" s="372"/>
      <c r="FA24" s="372"/>
      <c r="FB24" s="372"/>
      <c r="FC24" s="372"/>
      <c r="FD24" s="372"/>
      <c r="FE24" s="372"/>
      <c r="FF24" s="372"/>
      <c r="FG24" s="372"/>
      <c r="FH24" s="372"/>
      <c r="FI24" s="372"/>
      <c r="FJ24" s="372"/>
      <c r="FK24" s="372"/>
      <c r="FL24" s="372"/>
      <c r="FM24" s="372"/>
      <c r="FN24" s="372"/>
      <c r="FO24" s="372"/>
      <c r="FP24" s="372"/>
      <c r="FQ24" s="372"/>
      <c r="FR24" s="372"/>
      <c r="FS24" s="372"/>
      <c r="FT24" s="372"/>
      <c r="FU24" s="372"/>
      <c r="FV24" s="372"/>
      <c r="FW24" s="372"/>
      <c r="FX24" s="372"/>
      <c r="FY24" s="372"/>
      <c r="FZ24" s="372"/>
      <c r="GA24" s="372"/>
      <c r="GB24" s="372"/>
      <c r="GC24" s="372"/>
      <c r="GD24" s="372"/>
      <c r="GE24" s="372"/>
      <c r="GF24" s="372"/>
      <c r="GG24" s="372"/>
      <c r="GH24" s="372"/>
      <c r="GI24" s="372"/>
      <c r="GJ24" s="372"/>
      <c r="GK24" s="372"/>
      <c r="GL24" s="372"/>
      <c r="GM24" s="372"/>
      <c r="GN24" s="372"/>
      <c r="GO24" s="372"/>
      <c r="GP24" s="372"/>
      <c r="GQ24" s="372"/>
      <c r="GR24" s="372"/>
      <c r="GS24" s="372"/>
      <c r="GT24" s="372"/>
      <c r="GU24" s="372"/>
      <c r="GV24" s="372"/>
      <c r="GW24" s="372"/>
      <c r="GX24" s="372"/>
      <c r="GY24" s="372"/>
      <c r="GZ24" s="372"/>
      <c r="HA24" s="372"/>
      <c r="HB24" s="372"/>
      <c r="HC24" s="372"/>
      <c r="HD24" s="372"/>
      <c r="HE24" s="372"/>
      <c r="HF24" s="372"/>
      <c r="HG24" s="372"/>
      <c r="HH24" s="372"/>
      <c r="HI24" s="372"/>
      <c r="HJ24" s="372"/>
      <c r="HK24" s="372"/>
      <c r="HL24" s="372"/>
      <c r="HM24" s="372"/>
      <c r="HN24" s="372"/>
      <c r="HO24" s="372"/>
      <c r="HP24" s="372"/>
      <c r="HQ24" s="372"/>
      <c r="HR24" s="372"/>
      <c r="HS24" s="372"/>
      <c r="HT24" s="372"/>
      <c r="HU24" s="372"/>
      <c r="HV24" s="372"/>
      <c r="HW24" s="372"/>
      <c r="HX24" s="372"/>
      <c r="HY24" s="372"/>
      <c r="HZ24" s="372"/>
      <c r="IA24" s="372"/>
      <c r="IB24" s="372"/>
      <c r="IC24" s="372"/>
      <c r="ID24" s="372"/>
      <c r="IE24" s="372"/>
      <c r="IF24" s="372"/>
      <c r="IG24" s="372"/>
      <c r="IH24" s="372"/>
      <c r="II24" s="372"/>
      <c r="IJ24" s="372"/>
      <c r="IK24" s="372"/>
      <c r="IL24" s="372"/>
      <c r="IM24" s="372"/>
      <c r="IN24" s="372"/>
      <c r="IO24" s="372"/>
      <c r="IP24" s="372"/>
      <c r="IQ24" s="372"/>
      <c r="IR24" s="372"/>
      <c r="IS24" s="372"/>
      <c r="IT24" s="372"/>
      <c r="IU24" s="372"/>
      <c r="IV24" s="372"/>
    </row>
    <row r="25" spans="1:256" s="392" customFormat="1" ht="50.1" customHeight="1">
      <c r="A25" s="536"/>
      <c r="B25" s="536"/>
      <c r="C25" s="423" t="s">
        <v>151</v>
      </c>
      <c r="D25" s="424"/>
      <c r="E25" s="424"/>
      <c r="F25" s="425" t="s">
        <v>120</v>
      </c>
      <c r="G25" s="539" t="str">
        <f>'[5]vnos podatkov'!$E$10</f>
        <v>ANJA REGENT</v>
      </c>
      <c r="H25" s="539" t="str">
        <f>'[5]vnos podatkov'!$E$10</f>
        <v>ANJA REGENT</v>
      </c>
      <c r="I25" s="539" t="str">
        <f>'[5]vnos podatkov'!$E$10</f>
        <v>ANJA REGENT</v>
      </c>
      <c r="J25" s="422" t="s">
        <v>150</v>
      </c>
      <c r="K25" s="531"/>
      <c r="L25" s="531"/>
      <c r="M25" s="371"/>
      <c r="N25" s="390"/>
      <c r="O25" s="390"/>
      <c r="P25" s="426"/>
      <c r="Q25" s="426"/>
      <c r="R25" s="426"/>
      <c r="S25" s="426"/>
      <c r="T25" s="426"/>
      <c r="U25" s="426"/>
      <c r="V25" s="426"/>
      <c r="W25" s="426"/>
      <c r="X25" s="426"/>
      <c r="Y25" s="426"/>
      <c r="Z25" s="426"/>
      <c r="AA25" s="426"/>
      <c r="AB25" s="426"/>
      <c r="AC25" s="426"/>
      <c r="AD25" s="426"/>
      <c r="AE25" s="426"/>
      <c r="AF25" s="426"/>
      <c r="AG25" s="426"/>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0"/>
      <c r="CE25" s="390"/>
      <c r="CF25" s="390"/>
      <c r="CG25" s="390"/>
      <c r="CH25" s="390"/>
      <c r="CI25" s="390"/>
      <c r="CJ25" s="390"/>
      <c r="CK25" s="390"/>
      <c r="CL25" s="390"/>
      <c r="CM25" s="390"/>
      <c r="CN25" s="390"/>
      <c r="CO25" s="390"/>
      <c r="CP25" s="390"/>
      <c r="CQ25" s="390"/>
      <c r="CR25" s="390"/>
      <c r="CS25" s="390"/>
      <c r="CT25" s="390"/>
      <c r="CU25" s="390"/>
      <c r="CV25" s="390"/>
      <c r="CW25" s="390"/>
      <c r="CX25" s="390"/>
      <c r="CY25" s="390"/>
      <c r="CZ25" s="390"/>
      <c r="DA25" s="390"/>
      <c r="DB25" s="390"/>
      <c r="DC25" s="390"/>
      <c r="DD25" s="390"/>
      <c r="DE25" s="390"/>
      <c r="DF25" s="390"/>
      <c r="DG25" s="390"/>
      <c r="DH25" s="390"/>
      <c r="DI25" s="390"/>
      <c r="DJ25" s="390"/>
      <c r="DK25" s="390"/>
      <c r="DL25" s="390"/>
      <c r="DM25" s="390"/>
      <c r="DN25" s="390"/>
      <c r="DO25" s="390"/>
      <c r="DP25" s="390"/>
      <c r="DQ25" s="390"/>
      <c r="DR25" s="390"/>
      <c r="DS25" s="390"/>
      <c r="DT25" s="390"/>
      <c r="DU25" s="390"/>
      <c r="DV25" s="390"/>
      <c r="DW25" s="390"/>
      <c r="DX25" s="390"/>
      <c r="DY25" s="390"/>
      <c r="DZ25" s="390"/>
      <c r="EA25" s="390"/>
      <c r="EB25" s="390"/>
      <c r="EC25" s="390"/>
      <c r="ED25" s="390"/>
      <c r="EE25" s="390"/>
      <c r="EF25" s="390"/>
      <c r="EG25" s="390"/>
      <c r="EH25" s="390"/>
      <c r="EI25" s="390"/>
      <c r="EJ25" s="390"/>
      <c r="EK25" s="390"/>
      <c r="EL25" s="390"/>
      <c r="EM25" s="390"/>
      <c r="EN25" s="390"/>
      <c r="EO25" s="390"/>
      <c r="EP25" s="390"/>
      <c r="EQ25" s="390"/>
      <c r="ER25" s="390"/>
      <c r="ES25" s="390"/>
      <c r="ET25" s="390"/>
      <c r="EU25" s="390"/>
      <c r="EV25" s="390"/>
      <c r="EW25" s="390"/>
      <c r="EX25" s="390"/>
      <c r="EY25" s="390"/>
      <c r="EZ25" s="390"/>
      <c r="FA25" s="390"/>
      <c r="FB25" s="390"/>
      <c r="FC25" s="390"/>
      <c r="FD25" s="390"/>
      <c r="FE25" s="390"/>
      <c r="FF25" s="390"/>
      <c r="FG25" s="390"/>
      <c r="FH25" s="390"/>
      <c r="FI25" s="390"/>
      <c r="FJ25" s="390"/>
      <c r="FK25" s="390"/>
      <c r="FL25" s="390"/>
      <c r="FM25" s="390"/>
      <c r="FN25" s="390"/>
      <c r="FO25" s="390"/>
      <c r="FP25" s="390"/>
      <c r="FQ25" s="390"/>
      <c r="FR25" s="390"/>
      <c r="FS25" s="390"/>
      <c r="FT25" s="390"/>
      <c r="FU25" s="390"/>
      <c r="FV25" s="390"/>
      <c r="FW25" s="390"/>
      <c r="FX25" s="390"/>
      <c r="FY25" s="390"/>
      <c r="FZ25" s="390"/>
      <c r="GA25" s="390"/>
      <c r="GB25" s="390"/>
      <c r="GC25" s="390"/>
      <c r="GD25" s="390"/>
      <c r="GE25" s="390"/>
      <c r="GF25" s="390"/>
      <c r="GG25" s="390"/>
      <c r="GH25" s="390"/>
      <c r="GI25" s="390"/>
      <c r="GJ25" s="390"/>
      <c r="GK25" s="390"/>
      <c r="GL25" s="390"/>
      <c r="GM25" s="390"/>
      <c r="GN25" s="390"/>
      <c r="GO25" s="390"/>
      <c r="GP25" s="390"/>
      <c r="GQ25" s="390"/>
      <c r="GR25" s="390"/>
      <c r="GS25" s="390"/>
      <c r="GT25" s="390"/>
      <c r="GU25" s="390"/>
      <c r="GV25" s="390"/>
      <c r="GW25" s="390"/>
      <c r="GX25" s="390"/>
      <c r="GY25" s="390"/>
      <c r="GZ25" s="390"/>
      <c r="HA25" s="390"/>
      <c r="HB25" s="390"/>
      <c r="HC25" s="390"/>
      <c r="HD25" s="390"/>
      <c r="HE25" s="390"/>
      <c r="HF25" s="390"/>
      <c r="HG25" s="390"/>
      <c r="HH25" s="390"/>
      <c r="HI25" s="390"/>
      <c r="HJ25" s="390"/>
      <c r="HK25" s="390"/>
      <c r="HL25" s="390"/>
      <c r="HM25" s="390"/>
      <c r="HN25" s="390"/>
      <c r="HO25" s="390"/>
      <c r="HP25" s="390"/>
      <c r="HQ25" s="390"/>
      <c r="HR25" s="390"/>
      <c r="HS25" s="390"/>
      <c r="HT25" s="390"/>
      <c r="HU25" s="390"/>
      <c r="HV25" s="390"/>
      <c r="HW25" s="390"/>
      <c r="HX25" s="390"/>
      <c r="HY25" s="390"/>
      <c r="HZ25" s="390"/>
      <c r="IA25" s="390"/>
      <c r="IB25" s="390"/>
      <c r="IC25" s="390"/>
      <c r="ID25" s="390"/>
      <c r="IE25" s="390"/>
      <c r="IF25" s="390"/>
      <c r="IG25" s="390"/>
      <c r="IH25" s="390"/>
      <c r="II25" s="390"/>
      <c r="IJ25" s="390"/>
      <c r="IK25" s="390"/>
      <c r="IL25" s="390"/>
      <c r="IM25" s="390"/>
      <c r="IN25" s="390"/>
      <c r="IO25" s="390"/>
      <c r="IP25" s="390"/>
      <c r="IQ25" s="390"/>
      <c r="IR25" s="390"/>
      <c r="IS25" s="390"/>
      <c r="IT25" s="390"/>
      <c r="IU25" s="390"/>
      <c r="IV25" s="390"/>
    </row>
    <row r="26" spans="1:13" ht="50.1" customHeight="1">
      <c r="A26" s="536"/>
      <c r="B26" s="536"/>
      <c r="C26" s="427" t="s">
        <v>152</v>
      </c>
      <c r="D26" s="424"/>
      <c r="E26" s="424"/>
      <c r="F26" s="420" t="s">
        <v>117</v>
      </c>
      <c r="G26" s="539"/>
      <c r="H26" s="539"/>
      <c r="I26" s="539"/>
      <c r="J26" s="422" t="s">
        <v>150</v>
      </c>
      <c r="K26" s="531"/>
      <c r="L26" s="531"/>
      <c r="M26" s="371"/>
    </row>
    <row r="27" spans="1:256" s="431" customFormat="1" ht="15">
      <c r="A27" s="532"/>
      <c r="B27" s="532"/>
      <c r="C27" s="532"/>
      <c r="D27" s="532"/>
      <c r="E27" s="532"/>
      <c r="F27" s="532"/>
      <c r="G27" s="532"/>
      <c r="H27" s="532"/>
      <c r="I27" s="532"/>
      <c r="J27" s="532"/>
      <c r="K27" s="532"/>
      <c r="L27" s="532"/>
      <c r="M27" s="371"/>
      <c r="N27" s="429"/>
      <c r="O27" s="429"/>
      <c r="P27" s="430"/>
      <c r="Q27" s="430"/>
      <c r="R27" s="430"/>
      <c r="S27" s="430"/>
      <c r="T27" s="430"/>
      <c r="U27" s="430"/>
      <c r="V27" s="430"/>
      <c r="W27" s="430"/>
      <c r="X27" s="430"/>
      <c r="Y27" s="430"/>
      <c r="Z27" s="430"/>
      <c r="AA27" s="430"/>
      <c r="AB27" s="430"/>
      <c r="AC27" s="430"/>
      <c r="AD27" s="430"/>
      <c r="AE27" s="430"/>
      <c r="AF27" s="430"/>
      <c r="AG27" s="430"/>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9"/>
      <c r="DG27" s="429"/>
      <c r="DH27" s="429"/>
      <c r="DI27" s="429"/>
      <c r="DJ27" s="429"/>
      <c r="DK27" s="429"/>
      <c r="DL27" s="429"/>
      <c r="DM27" s="429"/>
      <c r="DN27" s="429"/>
      <c r="DO27" s="429"/>
      <c r="DP27" s="429"/>
      <c r="DQ27" s="429"/>
      <c r="DR27" s="429"/>
      <c r="DS27" s="429"/>
      <c r="DT27" s="429"/>
      <c r="DU27" s="429"/>
      <c r="DV27" s="429"/>
      <c r="DW27" s="429"/>
      <c r="DX27" s="429"/>
      <c r="DY27" s="429"/>
      <c r="DZ27" s="429"/>
      <c r="EA27" s="429"/>
      <c r="EB27" s="429"/>
      <c r="EC27" s="429"/>
      <c r="ED27" s="429"/>
      <c r="EE27" s="429"/>
      <c r="EF27" s="429"/>
      <c r="EG27" s="429"/>
      <c r="EH27" s="429"/>
      <c r="EI27" s="429"/>
      <c r="EJ27" s="429"/>
      <c r="EK27" s="429"/>
      <c r="EL27" s="429"/>
      <c r="EM27" s="429"/>
      <c r="EN27" s="429"/>
      <c r="EO27" s="429"/>
      <c r="EP27" s="429"/>
      <c r="EQ27" s="429"/>
      <c r="ER27" s="429"/>
      <c r="ES27" s="429"/>
      <c r="ET27" s="429"/>
      <c r="EU27" s="429"/>
      <c r="EV27" s="429"/>
      <c r="EW27" s="429"/>
      <c r="EX27" s="429"/>
      <c r="EY27" s="429"/>
      <c r="EZ27" s="429"/>
      <c r="FA27" s="429"/>
      <c r="FB27" s="429"/>
      <c r="FC27" s="429"/>
      <c r="FD27" s="429"/>
      <c r="FE27" s="429"/>
      <c r="FF27" s="429"/>
      <c r="FG27" s="429"/>
      <c r="FH27" s="429"/>
      <c r="FI27" s="429"/>
      <c r="FJ27" s="429"/>
      <c r="FK27" s="429"/>
      <c r="FL27" s="429"/>
      <c r="FM27" s="429"/>
      <c r="FN27" s="429"/>
      <c r="FO27" s="429"/>
      <c r="FP27" s="429"/>
      <c r="FQ27" s="429"/>
      <c r="FR27" s="429"/>
      <c r="FS27" s="429"/>
      <c r="FT27" s="429"/>
      <c r="FU27" s="429"/>
      <c r="FV27" s="429"/>
      <c r="FW27" s="429"/>
      <c r="FX27" s="429"/>
      <c r="FY27" s="429"/>
      <c r="FZ27" s="429"/>
      <c r="GA27" s="429"/>
      <c r="GB27" s="429"/>
      <c r="GC27" s="429"/>
      <c r="GD27" s="429"/>
      <c r="GE27" s="429"/>
      <c r="GF27" s="429"/>
      <c r="GG27" s="429"/>
      <c r="GH27" s="429"/>
      <c r="GI27" s="429"/>
      <c r="GJ27" s="429"/>
      <c r="GK27" s="429"/>
      <c r="GL27" s="429"/>
      <c r="GM27" s="429"/>
      <c r="GN27" s="429"/>
      <c r="GO27" s="429"/>
      <c r="GP27" s="429"/>
      <c r="GQ27" s="429"/>
      <c r="GR27" s="429"/>
      <c r="GS27" s="429"/>
      <c r="GT27" s="429"/>
      <c r="GU27" s="429"/>
      <c r="GV27" s="429"/>
      <c r="GW27" s="429"/>
      <c r="GX27" s="429"/>
      <c r="GY27" s="429"/>
      <c r="GZ27" s="429"/>
      <c r="HA27" s="429"/>
      <c r="HB27" s="429"/>
      <c r="HC27" s="429"/>
      <c r="HD27" s="429"/>
      <c r="HE27" s="429"/>
      <c r="HF27" s="429"/>
      <c r="HG27" s="429"/>
      <c r="HH27" s="429"/>
      <c r="HI27" s="429"/>
      <c r="HJ27" s="429"/>
      <c r="HK27" s="429"/>
      <c r="HL27" s="429"/>
      <c r="HM27" s="429"/>
      <c r="HN27" s="429"/>
      <c r="HO27" s="429"/>
      <c r="HP27" s="429"/>
      <c r="HQ27" s="429"/>
      <c r="HR27" s="429"/>
      <c r="HS27" s="429"/>
      <c r="HT27" s="429"/>
      <c r="HU27" s="429"/>
      <c r="HV27" s="429"/>
      <c r="HW27" s="429"/>
      <c r="HX27" s="429"/>
      <c r="HY27" s="429"/>
      <c r="HZ27" s="429"/>
      <c r="IA27" s="429"/>
      <c r="IB27" s="429"/>
      <c r="IC27" s="429"/>
      <c r="ID27" s="429"/>
      <c r="IE27" s="429"/>
      <c r="IF27" s="429"/>
      <c r="IG27" s="429"/>
      <c r="IH27" s="429"/>
      <c r="II27" s="429"/>
      <c r="IJ27" s="429"/>
      <c r="IK27" s="429"/>
      <c r="IL27" s="429"/>
      <c r="IM27" s="429"/>
      <c r="IN27" s="429"/>
      <c r="IO27" s="429"/>
      <c r="IP27" s="429"/>
      <c r="IQ27" s="429"/>
      <c r="IR27" s="429"/>
      <c r="IS27" s="429"/>
      <c r="IT27" s="429"/>
      <c r="IU27" s="429"/>
      <c r="IV27" s="429"/>
    </row>
    <row r="28" spans="1:256" s="392" customFormat="1" ht="30.75">
      <c r="A28" s="423"/>
      <c r="B28" s="423"/>
      <c r="C28" s="423"/>
      <c r="D28" s="423"/>
      <c r="E28" s="423"/>
      <c r="F28" s="374"/>
      <c r="G28" s="423"/>
      <c r="H28" s="423"/>
      <c r="I28" s="423"/>
      <c r="J28" s="423"/>
      <c r="K28" s="423"/>
      <c r="L28" s="423"/>
      <c r="M28" s="432"/>
      <c r="N28" s="390"/>
      <c r="O28" s="390"/>
      <c r="P28" s="426"/>
      <c r="Q28" s="426"/>
      <c r="R28" s="426"/>
      <c r="S28" s="426"/>
      <c r="T28" s="426"/>
      <c r="U28" s="426"/>
      <c r="V28" s="426"/>
      <c r="W28" s="426"/>
      <c r="X28" s="426"/>
      <c r="Y28" s="426"/>
      <c r="Z28" s="426"/>
      <c r="AA28" s="426"/>
      <c r="AB28" s="426"/>
      <c r="AC28" s="426"/>
      <c r="AD28" s="426"/>
      <c r="AE28" s="426"/>
      <c r="AF28" s="426"/>
      <c r="AG28" s="426"/>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0"/>
      <c r="BS28" s="390"/>
      <c r="BT28" s="390"/>
      <c r="BU28" s="390"/>
      <c r="BV28" s="390"/>
      <c r="BW28" s="390"/>
      <c r="BX28" s="390"/>
      <c r="BY28" s="390"/>
      <c r="BZ28" s="390"/>
      <c r="CA28" s="390"/>
      <c r="CB28" s="390"/>
      <c r="CC28" s="390"/>
      <c r="CD28" s="390"/>
      <c r="CE28" s="390"/>
      <c r="CF28" s="390"/>
      <c r="CG28" s="390"/>
      <c r="CH28" s="390"/>
      <c r="CI28" s="390"/>
      <c r="CJ28" s="390"/>
      <c r="CK28" s="390"/>
      <c r="CL28" s="390"/>
      <c r="CM28" s="390"/>
      <c r="CN28" s="390"/>
      <c r="CO28" s="390"/>
      <c r="CP28" s="390"/>
      <c r="CQ28" s="390"/>
      <c r="CR28" s="390"/>
      <c r="CS28" s="390"/>
      <c r="CT28" s="390"/>
      <c r="CU28" s="390"/>
      <c r="CV28" s="390"/>
      <c r="CW28" s="390"/>
      <c r="CX28" s="390"/>
      <c r="CY28" s="390"/>
      <c r="CZ28" s="390"/>
      <c r="DA28" s="390"/>
      <c r="DB28" s="390"/>
      <c r="DC28" s="390"/>
      <c r="DD28" s="390"/>
      <c r="DE28" s="390"/>
      <c r="DF28" s="390"/>
      <c r="DG28" s="390"/>
      <c r="DH28" s="390"/>
      <c r="DI28" s="390"/>
      <c r="DJ28" s="390"/>
      <c r="DK28" s="390"/>
      <c r="DL28" s="390"/>
      <c r="DM28" s="390"/>
      <c r="DN28" s="390"/>
      <c r="DO28" s="390"/>
      <c r="DP28" s="390"/>
      <c r="DQ28" s="390"/>
      <c r="DR28" s="390"/>
      <c r="DS28" s="390"/>
      <c r="DT28" s="390"/>
      <c r="DU28" s="390"/>
      <c r="DV28" s="390"/>
      <c r="DW28" s="390"/>
      <c r="DX28" s="390"/>
      <c r="DY28" s="390"/>
      <c r="DZ28" s="390"/>
      <c r="EA28" s="390"/>
      <c r="EB28" s="390"/>
      <c r="EC28" s="390"/>
      <c r="ED28" s="390"/>
      <c r="EE28" s="390"/>
      <c r="EF28" s="390"/>
      <c r="EG28" s="390"/>
      <c r="EH28" s="390"/>
      <c r="EI28" s="390"/>
      <c r="EJ28" s="390"/>
      <c r="EK28" s="390"/>
      <c r="EL28" s="390"/>
      <c r="EM28" s="390"/>
      <c r="EN28" s="390"/>
      <c r="EO28" s="390"/>
      <c r="EP28" s="390"/>
      <c r="EQ28" s="390"/>
      <c r="ER28" s="390"/>
      <c r="ES28" s="390"/>
      <c r="ET28" s="390"/>
      <c r="EU28" s="390"/>
      <c r="EV28" s="390"/>
      <c r="EW28" s="390"/>
      <c r="EX28" s="390"/>
      <c r="EY28" s="390"/>
      <c r="EZ28" s="390"/>
      <c r="FA28" s="390"/>
      <c r="FB28" s="390"/>
      <c r="FC28" s="390"/>
      <c r="FD28" s="390"/>
      <c r="FE28" s="390"/>
      <c r="FF28" s="390"/>
      <c r="FG28" s="390"/>
      <c r="FH28" s="390"/>
      <c r="FI28" s="390"/>
      <c r="FJ28" s="390"/>
      <c r="FK28" s="390"/>
      <c r="FL28" s="390"/>
      <c r="FM28" s="390"/>
      <c r="FN28" s="390"/>
      <c r="FO28" s="390"/>
      <c r="FP28" s="390"/>
      <c r="FQ28" s="390"/>
      <c r="FR28" s="390"/>
      <c r="FS28" s="390"/>
      <c r="FT28" s="390"/>
      <c r="FU28" s="390"/>
      <c r="FV28" s="390"/>
      <c r="FW28" s="390"/>
      <c r="FX28" s="390"/>
      <c r="FY28" s="390"/>
      <c r="FZ28" s="390"/>
      <c r="GA28" s="390"/>
      <c r="GB28" s="390"/>
      <c r="GC28" s="390"/>
      <c r="GD28" s="390"/>
      <c r="GE28" s="390"/>
      <c r="GF28" s="390"/>
      <c r="GG28" s="390"/>
      <c r="GH28" s="390"/>
      <c r="GI28" s="390"/>
      <c r="GJ28" s="390"/>
      <c r="GK28" s="390"/>
      <c r="GL28" s="390"/>
      <c r="GM28" s="390"/>
      <c r="GN28" s="390"/>
      <c r="GO28" s="390"/>
      <c r="GP28" s="390"/>
      <c r="GQ28" s="390"/>
      <c r="GR28" s="390"/>
      <c r="GS28" s="390"/>
      <c r="GT28" s="390"/>
      <c r="GU28" s="390"/>
      <c r="GV28" s="390"/>
      <c r="GW28" s="390"/>
      <c r="GX28" s="390"/>
      <c r="GY28" s="390"/>
      <c r="GZ28" s="390"/>
      <c r="HA28" s="390"/>
      <c r="HB28" s="390"/>
      <c r="HC28" s="390"/>
      <c r="HD28" s="390"/>
      <c r="HE28" s="390"/>
      <c r="HF28" s="390"/>
      <c r="HG28" s="390"/>
      <c r="HH28" s="390"/>
      <c r="HI28" s="390"/>
      <c r="HJ28" s="390"/>
      <c r="HK28" s="390"/>
      <c r="HL28" s="390"/>
      <c r="HM28" s="390"/>
      <c r="HN28" s="390"/>
      <c r="HO28" s="390"/>
      <c r="HP28" s="390"/>
      <c r="HQ28" s="390"/>
      <c r="HR28" s="390"/>
      <c r="HS28" s="390"/>
      <c r="HT28" s="390"/>
      <c r="HU28" s="390"/>
      <c r="HV28" s="390"/>
      <c r="HW28" s="390"/>
      <c r="HX28" s="390"/>
      <c r="HY28" s="390"/>
      <c r="HZ28" s="390"/>
      <c r="IA28" s="390"/>
      <c r="IB28" s="390"/>
      <c r="IC28" s="390"/>
      <c r="ID28" s="390"/>
      <c r="IE28" s="390"/>
      <c r="IF28" s="390"/>
      <c r="IG28" s="390"/>
      <c r="IH28" s="390"/>
      <c r="II28" s="390"/>
      <c r="IJ28" s="390"/>
      <c r="IK28" s="390"/>
      <c r="IL28" s="390"/>
      <c r="IM28" s="390"/>
      <c r="IN28" s="390"/>
      <c r="IO28" s="390"/>
      <c r="IP28" s="390"/>
      <c r="IQ28" s="390"/>
      <c r="IR28" s="390"/>
      <c r="IS28" s="390"/>
      <c r="IT28" s="390"/>
      <c r="IU28" s="390"/>
      <c r="IV28" s="390"/>
    </row>
    <row r="29" spans="1:256" ht="15">
      <c r="A29" s="433"/>
      <c r="B29" s="434"/>
      <c r="C29" s="434"/>
      <c r="D29" s="434"/>
      <c r="E29" s="434"/>
      <c r="F29" s="434"/>
      <c r="G29" s="434"/>
      <c r="H29" s="434"/>
      <c r="I29" s="434"/>
      <c r="J29" s="434"/>
      <c r="K29" s="434"/>
      <c r="L29" s="434"/>
      <c r="M29" s="435"/>
      <c r="N29" s="436"/>
      <c r="O29" s="436"/>
      <c r="P29" s="437"/>
      <c r="Q29" s="437"/>
      <c r="R29" s="437"/>
      <c r="S29" s="437"/>
      <c r="T29" s="437"/>
      <c r="U29" s="437"/>
      <c r="V29" s="437"/>
      <c r="W29" s="437"/>
      <c r="X29" s="437"/>
      <c r="Y29" s="437"/>
      <c r="Z29" s="437"/>
      <c r="AA29" s="437"/>
      <c r="AB29" s="437"/>
      <c r="AC29" s="437"/>
      <c r="AD29" s="437"/>
      <c r="AE29" s="437"/>
      <c r="AF29" s="437"/>
      <c r="AG29" s="437"/>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6"/>
      <c r="CM29" s="436"/>
      <c r="CN29" s="436"/>
      <c r="CO29" s="436"/>
      <c r="CP29" s="436"/>
      <c r="CQ29" s="436"/>
      <c r="CR29" s="436"/>
      <c r="CS29" s="436"/>
      <c r="CT29" s="436"/>
      <c r="CU29" s="436"/>
      <c r="CV29" s="436"/>
      <c r="CW29" s="436"/>
      <c r="CX29" s="436"/>
      <c r="CY29" s="436"/>
      <c r="CZ29" s="436"/>
      <c r="DA29" s="436"/>
      <c r="DB29" s="436"/>
      <c r="DC29" s="436"/>
      <c r="DD29" s="436"/>
      <c r="DE29" s="436"/>
      <c r="DF29" s="436"/>
      <c r="DG29" s="436"/>
      <c r="DH29" s="436"/>
      <c r="DI29" s="436"/>
      <c r="DJ29" s="436"/>
      <c r="DK29" s="436"/>
      <c r="DL29" s="436"/>
      <c r="DM29" s="436"/>
      <c r="DN29" s="436"/>
      <c r="DO29" s="436"/>
      <c r="DP29" s="436"/>
      <c r="DQ29" s="436"/>
      <c r="DR29" s="436"/>
      <c r="DS29" s="436"/>
      <c r="DT29" s="436"/>
      <c r="DU29" s="436"/>
      <c r="DV29" s="436"/>
      <c r="DW29" s="436"/>
      <c r="DX29" s="436"/>
      <c r="DY29" s="436"/>
      <c r="DZ29" s="436"/>
      <c r="EA29" s="436"/>
      <c r="EB29" s="436"/>
      <c r="EC29" s="436"/>
      <c r="ED29" s="436"/>
      <c r="EE29" s="436"/>
      <c r="EF29" s="436"/>
      <c r="EG29" s="436"/>
      <c r="EH29" s="436"/>
      <c r="EI29" s="436"/>
      <c r="EJ29" s="436"/>
      <c r="EK29" s="436"/>
      <c r="EL29" s="436"/>
      <c r="EM29" s="436"/>
      <c r="EN29" s="436"/>
      <c r="EO29" s="436"/>
      <c r="EP29" s="436"/>
      <c r="EQ29" s="436"/>
      <c r="ER29" s="436"/>
      <c r="ES29" s="436"/>
      <c r="ET29" s="436"/>
      <c r="EU29" s="436"/>
      <c r="EV29" s="436"/>
      <c r="EW29" s="436"/>
      <c r="EX29" s="436"/>
      <c r="EY29" s="436"/>
      <c r="EZ29" s="436"/>
      <c r="FA29" s="436"/>
      <c r="FB29" s="436"/>
      <c r="FC29" s="436"/>
      <c r="FD29" s="436"/>
      <c r="FE29" s="436"/>
      <c r="FF29" s="436"/>
      <c r="FG29" s="436"/>
      <c r="FH29" s="436"/>
      <c r="FI29" s="436"/>
      <c r="FJ29" s="436"/>
      <c r="FK29" s="436"/>
      <c r="FL29" s="436"/>
      <c r="FM29" s="436"/>
      <c r="FN29" s="436"/>
      <c r="FO29" s="436"/>
      <c r="FP29" s="436"/>
      <c r="FQ29" s="436"/>
      <c r="FR29" s="436"/>
      <c r="FS29" s="436"/>
      <c r="FT29" s="436"/>
      <c r="FU29" s="436"/>
      <c r="FV29" s="436"/>
      <c r="FW29" s="436"/>
      <c r="FX29" s="436"/>
      <c r="FY29" s="436"/>
      <c r="FZ29" s="436"/>
      <c r="GA29" s="436"/>
      <c r="GB29" s="436"/>
      <c r="GC29" s="436"/>
      <c r="GD29" s="436"/>
      <c r="GE29" s="436"/>
      <c r="GF29" s="436"/>
      <c r="GG29" s="436"/>
      <c r="GH29" s="436"/>
      <c r="GI29" s="436"/>
      <c r="GJ29" s="436"/>
      <c r="GK29" s="436"/>
      <c r="GL29" s="436"/>
      <c r="GM29" s="436"/>
      <c r="GN29" s="436"/>
      <c r="GO29" s="436"/>
      <c r="GP29" s="436"/>
      <c r="GQ29" s="436"/>
      <c r="GR29" s="436"/>
      <c r="GS29" s="436"/>
      <c r="GT29" s="436"/>
      <c r="GU29" s="436"/>
      <c r="GV29" s="436"/>
      <c r="GW29" s="436"/>
      <c r="GX29" s="436"/>
      <c r="GY29" s="436"/>
      <c r="GZ29" s="436"/>
      <c r="HA29" s="436"/>
      <c r="HB29" s="436"/>
      <c r="HC29" s="436"/>
      <c r="HD29" s="436"/>
      <c r="HE29" s="436"/>
      <c r="HF29" s="436"/>
      <c r="HG29" s="436"/>
      <c r="HH29" s="436"/>
      <c r="HI29" s="436"/>
      <c r="HJ29" s="436"/>
      <c r="HK29" s="436"/>
      <c r="HL29" s="436"/>
      <c r="HM29" s="436"/>
      <c r="HN29" s="436"/>
      <c r="HO29" s="436"/>
      <c r="HP29" s="436"/>
      <c r="HQ29" s="436"/>
      <c r="HR29" s="436"/>
      <c r="HS29" s="436"/>
      <c r="HT29" s="436"/>
      <c r="HU29" s="436"/>
      <c r="HV29" s="436"/>
      <c r="HW29" s="436"/>
      <c r="HX29" s="436"/>
      <c r="HY29" s="436"/>
      <c r="HZ29" s="436"/>
      <c r="IA29" s="436"/>
      <c r="IB29" s="436"/>
      <c r="IC29" s="436"/>
      <c r="ID29" s="436"/>
      <c r="IE29" s="436"/>
      <c r="IF29" s="436"/>
      <c r="IG29" s="436"/>
      <c r="IH29" s="436"/>
      <c r="II29" s="436"/>
      <c r="IJ29" s="436"/>
      <c r="IK29" s="436"/>
      <c r="IL29" s="436"/>
      <c r="IM29" s="436"/>
      <c r="IN29" s="436"/>
      <c r="IO29" s="436"/>
      <c r="IP29" s="436"/>
      <c r="IQ29" s="436"/>
      <c r="IR29" s="436"/>
      <c r="IS29" s="436"/>
      <c r="IT29" s="436"/>
      <c r="IU29" s="436"/>
      <c r="IV29" s="436"/>
    </row>
    <row r="30" spans="14:256" ht="15">
      <c r="N30" s="372"/>
      <c r="O30" s="372"/>
      <c r="P30" s="373"/>
      <c r="Q30" s="373"/>
      <c r="R30" s="373"/>
      <c r="S30" s="373"/>
      <c r="T30" s="373"/>
      <c r="U30" s="373"/>
      <c r="V30" s="373"/>
      <c r="W30" s="373"/>
      <c r="X30" s="373"/>
      <c r="Y30" s="373"/>
      <c r="Z30" s="373"/>
      <c r="AA30" s="373"/>
      <c r="AB30" s="373"/>
      <c r="AC30" s="373"/>
      <c r="AD30" s="373"/>
      <c r="AE30" s="373"/>
      <c r="AF30" s="373"/>
      <c r="AG30" s="373"/>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c r="DX30" s="372"/>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72"/>
      <c r="EV30" s="372"/>
      <c r="EW30" s="372"/>
      <c r="EX30" s="372"/>
      <c r="EY30" s="372"/>
      <c r="EZ30" s="372"/>
      <c r="FA30" s="372"/>
      <c r="FB30" s="372"/>
      <c r="FC30" s="372"/>
      <c r="FD30" s="372"/>
      <c r="FE30" s="372"/>
      <c r="FF30" s="372"/>
      <c r="FG30" s="372"/>
      <c r="FH30" s="372"/>
      <c r="FI30" s="372"/>
      <c r="FJ30" s="372"/>
      <c r="FK30" s="372"/>
      <c r="FL30" s="372"/>
      <c r="FM30" s="372"/>
      <c r="FN30" s="372"/>
      <c r="FO30" s="372"/>
      <c r="FP30" s="372"/>
      <c r="FQ30" s="372"/>
      <c r="FR30" s="372"/>
      <c r="FS30" s="372"/>
      <c r="FT30" s="372"/>
      <c r="FU30" s="372"/>
      <c r="FV30" s="372"/>
      <c r="FW30" s="372"/>
      <c r="FX30" s="372"/>
      <c r="FY30" s="372"/>
      <c r="FZ30" s="372"/>
      <c r="GA30" s="372"/>
      <c r="GB30" s="372"/>
      <c r="GC30" s="372"/>
      <c r="GD30" s="372"/>
      <c r="GE30" s="372"/>
      <c r="GF30" s="372"/>
      <c r="GG30" s="372"/>
      <c r="GH30" s="372"/>
      <c r="GI30" s="372"/>
      <c r="GJ30" s="372"/>
      <c r="GK30" s="372"/>
      <c r="GL30" s="372"/>
      <c r="GM30" s="372"/>
      <c r="GN30" s="372"/>
      <c r="GO30" s="372"/>
      <c r="GP30" s="372"/>
      <c r="GQ30" s="372"/>
      <c r="GR30" s="372"/>
      <c r="GS30" s="372"/>
      <c r="GT30" s="372"/>
      <c r="GU30" s="372"/>
      <c r="GV30" s="372"/>
      <c r="GW30" s="372"/>
      <c r="GX30" s="372"/>
      <c r="GY30" s="372"/>
      <c r="GZ30" s="372"/>
      <c r="HA30" s="372"/>
      <c r="HB30" s="372"/>
      <c r="HC30" s="372"/>
      <c r="HD30" s="372"/>
      <c r="HE30" s="372"/>
      <c r="HF30" s="372"/>
      <c r="HG30" s="372"/>
      <c r="HH30" s="372"/>
      <c r="HI30" s="372"/>
      <c r="HJ30" s="372"/>
      <c r="HK30" s="372"/>
      <c r="HL30" s="372"/>
      <c r="HM30" s="372"/>
      <c r="HN30" s="372"/>
      <c r="HO30" s="372"/>
      <c r="HP30" s="372"/>
      <c r="HQ30" s="372"/>
      <c r="HR30" s="372"/>
      <c r="HS30" s="372"/>
      <c r="HT30" s="372"/>
      <c r="HU30" s="372"/>
      <c r="HV30" s="372"/>
      <c r="HW30" s="372"/>
      <c r="HX30" s="372"/>
      <c r="HY30" s="372"/>
      <c r="HZ30" s="372"/>
      <c r="IA30" s="372"/>
      <c r="IB30" s="372"/>
      <c r="IC30" s="372"/>
      <c r="ID30" s="372"/>
      <c r="IE30" s="372"/>
      <c r="IF30" s="372"/>
      <c r="IG30" s="372"/>
      <c r="IH30" s="372"/>
      <c r="II30" s="372"/>
      <c r="IJ30" s="372"/>
      <c r="IK30" s="372"/>
      <c r="IL30" s="372"/>
      <c r="IM30" s="372"/>
      <c r="IN30" s="372"/>
      <c r="IO30" s="372"/>
      <c r="IP30" s="372"/>
      <c r="IQ30" s="372"/>
      <c r="IR30" s="372"/>
      <c r="IS30" s="372"/>
      <c r="IT30" s="372"/>
      <c r="IU30" s="372"/>
      <c r="IV30" s="372"/>
    </row>
    <row r="31" spans="14:256" ht="15">
      <c r="N31" s="372"/>
      <c r="O31" s="372"/>
      <c r="P31" s="373"/>
      <c r="Q31" s="373"/>
      <c r="R31" s="373"/>
      <c r="S31" s="373"/>
      <c r="T31" s="373"/>
      <c r="U31" s="373"/>
      <c r="V31" s="373"/>
      <c r="W31" s="373"/>
      <c r="X31" s="373"/>
      <c r="Y31" s="373"/>
      <c r="Z31" s="373"/>
      <c r="AA31" s="373"/>
      <c r="AB31" s="373"/>
      <c r="AC31" s="373"/>
      <c r="AD31" s="373"/>
      <c r="AE31" s="373"/>
      <c r="AF31" s="373"/>
      <c r="AG31" s="373"/>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c r="DX31" s="372"/>
      <c r="DY31" s="372"/>
      <c r="DZ31" s="372"/>
      <c r="EA31" s="372"/>
      <c r="EB31" s="372"/>
      <c r="EC31" s="372"/>
      <c r="ED31" s="372"/>
      <c r="EE31" s="372"/>
      <c r="EF31" s="372"/>
      <c r="EG31" s="372"/>
      <c r="EH31" s="372"/>
      <c r="EI31" s="372"/>
      <c r="EJ31" s="372"/>
      <c r="EK31" s="372"/>
      <c r="EL31" s="372"/>
      <c r="EM31" s="372"/>
      <c r="EN31" s="372"/>
      <c r="EO31" s="372"/>
      <c r="EP31" s="372"/>
      <c r="EQ31" s="372"/>
      <c r="ER31" s="372"/>
      <c r="ES31" s="372"/>
      <c r="ET31" s="372"/>
      <c r="EU31" s="372"/>
      <c r="EV31" s="372"/>
      <c r="EW31" s="372"/>
      <c r="EX31" s="372"/>
      <c r="EY31" s="372"/>
      <c r="EZ31" s="372"/>
      <c r="FA31" s="372"/>
      <c r="FB31" s="372"/>
      <c r="FC31" s="372"/>
      <c r="FD31" s="372"/>
      <c r="FE31" s="372"/>
      <c r="FF31" s="372"/>
      <c r="FG31" s="372"/>
      <c r="FH31" s="372"/>
      <c r="FI31" s="372"/>
      <c r="FJ31" s="372"/>
      <c r="FK31" s="372"/>
      <c r="FL31" s="372"/>
      <c r="FM31" s="372"/>
      <c r="FN31" s="372"/>
      <c r="FO31" s="372"/>
      <c r="FP31" s="372"/>
      <c r="FQ31" s="372"/>
      <c r="FR31" s="372"/>
      <c r="FS31" s="372"/>
      <c r="FT31" s="372"/>
      <c r="FU31" s="372"/>
      <c r="FV31" s="372"/>
      <c r="FW31" s="372"/>
      <c r="FX31" s="372"/>
      <c r="FY31" s="372"/>
      <c r="FZ31" s="372"/>
      <c r="GA31" s="372"/>
      <c r="GB31" s="372"/>
      <c r="GC31" s="372"/>
      <c r="GD31" s="372"/>
      <c r="GE31" s="372"/>
      <c r="GF31" s="372"/>
      <c r="GG31" s="372"/>
      <c r="GH31" s="372"/>
      <c r="GI31" s="372"/>
      <c r="GJ31" s="372"/>
      <c r="GK31" s="372"/>
      <c r="GL31" s="372"/>
      <c r="GM31" s="372"/>
      <c r="GN31" s="372"/>
      <c r="GO31" s="372"/>
      <c r="GP31" s="372"/>
      <c r="GQ31" s="372"/>
      <c r="GR31" s="372"/>
      <c r="GS31" s="372"/>
      <c r="GT31" s="372"/>
      <c r="GU31" s="372"/>
      <c r="GV31" s="372"/>
      <c r="GW31" s="372"/>
      <c r="GX31" s="372"/>
      <c r="GY31" s="372"/>
      <c r="GZ31" s="372"/>
      <c r="HA31" s="372"/>
      <c r="HB31" s="372"/>
      <c r="HC31" s="372"/>
      <c r="HD31" s="372"/>
      <c r="HE31" s="372"/>
      <c r="HF31" s="372"/>
      <c r="HG31" s="372"/>
      <c r="HH31" s="372"/>
      <c r="HI31" s="372"/>
      <c r="HJ31" s="372"/>
      <c r="HK31" s="372"/>
      <c r="HL31" s="372"/>
      <c r="HM31" s="372"/>
      <c r="HN31" s="372"/>
      <c r="HO31" s="372"/>
      <c r="HP31" s="372"/>
      <c r="HQ31" s="372"/>
      <c r="HR31" s="372"/>
      <c r="HS31" s="372"/>
      <c r="HT31" s="372"/>
      <c r="HU31" s="372"/>
      <c r="HV31" s="372"/>
      <c r="HW31" s="372"/>
      <c r="HX31" s="372"/>
      <c r="HY31" s="372"/>
      <c r="HZ31" s="372"/>
      <c r="IA31" s="372"/>
      <c r="IB31" s="372"/>
      <c r="IC31" s="372"/>
      <c r="ID31" s="372"/>
      <c r="IE31" s="372"/>
      <c r="IF31" s="372"/>
      <c r="IG31" s="372"/>
      <c r="IH31" s="372"/>
      <c r="II31" s="372"/>
      <c r="IJ31" s="372"/>
      <c r="IK31" s="372"/>
      <c r="IL31" s="372"/>
      <c r="IM31" s="372"/>
      <c r="IN31" s="372"/>
      <c r="IO31" s="372"/>
      <c r="IP31" s="372"/>
      <c r="IQ31" s="372"/>
      <c r="IR31" s="372"/>
      <c r="IS31" s="372"/>
      <c r="IT31" s="372"/>
      <c r="IU31" s="372"/>
      <c r="IV31" s="372"/>
    </row>
    <row r="32" spans="10:256" ht="30">
      <c r="J32" s="440"/>
      <c r="K32" s="440"/>
      <c r="N32" s="372"/>
      <c r="O32" s="372"/>
      <c r="P32" s="373"/>
      <c r="Q32" s="373"/>
      <c r="R32" s="373"/>
      <c r="S32" s="373"/>
      <c r="T32" s="373"/>
      <c r="U32" s="373"/>
      <c r="V32" s="373"/>
      <c r="W32" s="373"/>
      <c r="X32" s="373"/>
      <c r="Y32" s="373"/>
      <c r="Z32" s="373"/>
      <c r="AA32" s="373"/>
      <c r="AB32" s="373"/>
      <c r="AC32" s="373"/>
      <c r="AD32" s="373"/>
      <c r="AE32" s="373"/>
      <c r="AF32" s="373"/>
      <c r="AG32" s="373"/>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c r="CL32" s="372"/>
      <c r="CM32" s="372"/>
      <c r="CN32" s="372"/>
      <c r="CO32" s="372"/>
      <c r="CP32" s="372"/>
      <c r="CQ32" s="372"/>
      <c r="CR32" s="372"/>
      <c r="CS32" s="372"/>
      <c r="CT32" s="372"/>
      <c r="CU32" s="372"/>
      <c r="CV32" s="372"/>
      <c r="CW32" s="372"/>
      <c r="CX32" s="372"/>
      <c r="CY32" s="372"/>
      <c r="CZ32" s="372"/>
      <c r="DA32" s="372"/>
      <c r="DB32" s="372"/>
      <c r="DC32" s="372"/>
      <c r="DD32" s="372"/>
      <c r="DE32" s="372"/>
      <c r="DF32" s="372"/>
      <c r="DG32" s="372"/>
      <c r="DH32" s="372"/>
      <c r="DI32" s="372"/>
      <c r="DJ32" s="372"/>
      <c r="DK32" s="372"/>
      <c r="DL32" s="372"/>
      <c r="DM32" s="372"/>
      <c r="DN32" s="372"/>
      <c r="DO32" s="372"/>
      <c r="DP32" s="372"/>
      <c r="DQ32" s="372"/>
      <c r="DR32" s="372"/>
      <c r="DS32" s="372"/>
      <c r="DT32" s="372"/>
      <c r="DU32" s="372"/>
      <c r="DV32" s="372"/>
      <c r="DW32" s="372"/>
      <c r="DX32" s="372"/>
      <c r="DY32" s="372"/>
      <c r="DZ32" s="372"/>
      <c r="EA32" s="372"/>
      <c r="EB32" s="372"/>
      <c r="EC32" s="372"/>
      <c r="ED32" s="372"/>
      <c r="EE32" s="372"/>
      <c r="EF32" s="372"/>
      <c r="EG32" s="372"/>
      <c r="EH32" s="372"/>
      <c r="EI32" s="372"/>
      <c r="EJ32" s="372"/>
      <c r="EK32" s="372"/>
      <c r="EL32" s="372"/>
      <c r="EM32" s="372"/>
      <c r="EN32" s="372"/>
      <c r="EO32" s="372"/>
      <c r="EP32" s="372"/>
      <c r="EQ32" s="372"/>
      <c r="ER32" s="372"/>
      <c r="ES32" s="372"/>
      <c r="ET32" s="372"/>
      <c r="EU32" s="372"/>
      <c r="EV32" s="372"/>
      <c r="EW32" s="372"/>
      <c r="EX32" s="372"/>
      <c r="EY32" s="372"/>
      <c r="EZ32" s="372"/>
      <c r="FA32" s="372"/>
      <c r="FB32" s="372"/>
      <c r="FC32" s="372"/>
      <c r="FD32" s="372"/>
      <c r="FE32" s="372"/>
      <c r="FF32" s="372"/>
      <c r="FG32" s="372"/>
      <c r="FH32" s="372"/>
      <c r="FI32" s="372"/>
      <c r="FJ32" s="372"/>
      <c r="FK32" s="372"/>
      <c r="FL32" s="372"/>
      <c r="FM32" s="372"/>
      <c r="FN32" s="372"/>
      <c r="FO32" s="372"/>
      <c r="FP32" s="372"/>
      <c r="FQ32" s="372"/>
      <c r="FR32" s="372"/>
      <c r="FS32" s="372"/>
      <c r="FT32" s="372"/>
      <c r="FU32" s="372"/>
      <c r="FV32" s="372"/>
      <c r="FW32" s="372"/>
      <c r="FX32" s="372"/>
      <c r="FY32" s="372"/>
      <c r="FZ32" s="372"/>
      <c r="GA32" s="372"/>
      <c r="GB32" s="372"/>
      <c r="GC32" s="372"/>
      <c r="GD32" s="372"/>
      <c r="GE32" s="372"/>
      <c r="GF32" s="372"/>
      <c r="GG32" s="372"/>
      <c r="GH32" s="372"/>
      <c r="GI32" s="372"/>
      <c r="GJ32" s="372"/>
      <c r="GK32" s="372"/>
      <c r="GL32" s="372"/>
      <c r="GM32" s="372"/>
      <c r="GN32" s="372"/>
      <c r="GO32" s="372"/>
      <c r="GP32" s="372"/>
      <c r="GQ32" s="372"/>
      <c r="GR32" s="372"/>
      <c r="GS32" s="372"/>
      <c r="GT32" s="372"/>
      <c r="GU32" s="372"/>
      <c r="GV32" s="372"/>
      <c r="GW32" s="372"/>
      <c r="GX32" s="372"/>
      <c r="GY32" s="372"/>
      <c r="GZ32" s="372"/>
      <c r="HA32" s="372"/>
      <c r="HB32" s="372"/>
      <c r="HC32" s="372"/>
      <c r="HD32" s="372"/>
      <c r="HE32" s="372"/>
      <c r="HF32" s="372"/>
      <c r="HG32" s="372"/>
      <c r="HH32" s="372"/>
      <c r="HI32" s="372"/>
      <c r="HJ32" s="372"/>
      <c r="HK32" s="372"/>
      <c r="HL32" s="372"/>
      <c r="HM32" s="372"/>
      <c r="HN32" s="372"/>
      <c r="HO32" s="372"/>
      <c r="HP32" s="372"/>
      <c r="HQ32" s="372"/>
      <c r="HR32" s="372"/>
      <c r="HS32" s="372"/>
      <c r="HT32" s="372"/>
      <c r="HU32" s="372"/>
      <c r="HV32" s="372"/>
      <c r="HW32" s="372"/>
      <c r="HX32" s="372"/>
      <c r="HY32" s="372"/>
      <c r="HZ32" s="372"/>
      <c r="IA32" s="372"/>
      <c r="IB32" s="372"/>
      <c r="IC32" s="372"/>
      <c r="ID32" s="372"/>
      <c r="IE32" s="372"/>
      <c r="IF32" s="372"/>
      <c r="IG32" s="372"/>
      <c r="IH32" s="372"/>
      <c r="II32" s="372"/>
      <c r="IJ32" s="372"/>
      <c r="IK32" s="372"/>
      <c r="IL32" s="372"/>
      <c r="IM32" s="372"/>
      <c r="IN32" s="372"/>
      <c r="IO32" s="372"/>
      <c r="IP32" s="372"/>
      <c r="IQ32" s="372"/>
      <c r="IR32" s="372"/>
      <c r="IS32" s="372"/>
      <c r="IT32" s="372"/>
      <c r="IU32" s="372"/>
      <c r="IV32" s="372"/>
    </row>
    <row r="33" spans="10:256" ht="30">
      <c r="J33" s="440"/>
      <c r="K33" s="440"/>
      <c r="N33" s="372"/>
      <c r="O33" s="372"/>
      <c r="P33" s="373"/>
      <c r="Q33" s="373"/>
      <c r="R33" s="373"/>
      <c r="S33" s="373"/>
      <c r="T33" s="373"/>
      <c r="U33" s="373"/>
      <c r="V33" s="373"/>
      <c r="W33" s="373"/>
      <c r="X33" s="373"/>
      <c r="Y33" s="373"/>
      <c r="Z33" s="373"/>
      <c r="AA33" s="373"/>
      <c r="AB33" s="373"/>
      <c r="AC33" s="373"/>
      <c r="AD33" s="373"/>
      <c r="AE33" s="373"/>
      <c r="AF33" s="373"/>
      <c r="AG33" s="373"/>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72"/>
      <c r="CB33" s="372"/>
      <c r="CC33" s="372"/>
      <c r="CD33" s="372"/>
      <c r="CE33" s="372"/>
      <c r="CF33" s="372"/>
      <c r="CG33" s="372"/>
      <c r="CH33" s="372"/>
      <c r="CI33" s="372"/>
      <c r="CJ33" s="372"/>
      <c r="CK33" s="372"/>
      <c r="CL33" s="372"/>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2"/>
      <c r="DI33" s="372"/>
      <c r="DJ33" s="372"/>
      <c r="DK33" s="372"/>
      <c r="DL33" s="372"/>
      <c r="DM33" s="372"/>
      <c r="DN33" s="372"/>
      <c r="DO33" s="372"/>
      <c r="DP33" s="372"/>
      <c r="DQ33" s="372"/>
      <c r="DR33" s="372"/>
      <c r="DS33" s="372"/>
      <c r="DT33" s="372"/>
      <c r="DU33" s="372"/>
      <c r="DV33" s="372"/>
      <c r="DW33" s="372"/>
      <c r="DX33" s="372"/>
      <c r="DY33" s="372"/>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72"/>
      <c r="EV33" s="372"/>
      <c r="EW33" s="372"/>
      <c r="EX33" s="372"/>
      <c r="EY33" s="372"/>
      <c r="EZ33" s="372"/>
      <c r="FA33" s="372"/>
      <c r="FB33" s="372"/>
      <c r="FC33" s="372"/>
      <c r="FD33" s="372"/>
      <c r="FE33" s="372"/>
      <c r="FF33" s="372"/>
      <c r="FG33" s="372"/>
      <c r="FH33" s="372"/>
      <c r="FI33" s="372"/>
      <c r="FJ33" s="372"/>
      <c r="FK33" s="372"/>
      <c r="FL33" s="372"/>
      <c r="FM33" s="372"/>
      <c r="FN33" s="372"/>
      <c r="FO33" s="372"/>
      <c r="FP33" s="372"/>
      <c r="FQ33" s="372"/>
      <c r="FR33" s="372"/>
      <c r="FS33" s="372"/>
      <c r="FT33" s="372"/>
      <c r="FU33" s="372"/>
      <c r="FV33" s="372"/>
      <c r="FW33" s="372"/>
      <c r="FX33" s="372"/>
      <c r="FY33" s="372"/>
      <c r="FZ33" s="372"/>
      <c r="GA33" s="372"/>
      <c r="GB33" s="372"/>
      <c r="GC33" s="372"/>
      <c r="GD33" s="372"/>
      <c r="GE33" s="372"/>
      <c r="GF33" s="372"/>
      <c r="GG33" s="372"/>
      <c r="GH33" s="372"/>
      <c r="GI33" s="372"/>
      <c r="GJ33" s="372"/>
      <c r="GK33" s="372"/>
      <c r="GL33" s="372"/>
      <c r="GM33" s="372"/>
      <c r="GN33" s="372"/>
      <c r="GO33" s="372"/>
      <c r="GP33" s="372"/>
      <c r="GQ33" s="372"/>
      <c r="GR33" s="372"/>
      <c r="GS33" s="372"/>
      <c r="GT33" s="372"/>
      <c r="GU33" s="372"/>
      <c r="GV33" s="372"/>
      <c r="GW33" s="372"/>
      <c r="GX33" s="372"/>
      <c r="GY33" s="372"/>
      <c r="GZ33" s="372"/>
      <c r="HA33" s="372"/>
      <c r="HB33" s="372"/>
      <c r="HC33" s="372"/>
      <c r="HD33" s="372"/>
      <c r="HE33" s="372"/>
      <c r="HF33" s="372"/>
      <c r="HG33" s="372"/>
      <c r="HH33" s="372"/>
      <c r="HI33" s="372"/>
      <c r="HJ33" s="372"/>
      <c r="HK33" s="372"/>
      <c r="HL33" s="372"/>
      <c r="HM33" s="372"/>
      <c r="HN33" s="372"/>
      <c r="HO33" s="372"/>
      <c r="HP33" s="372"/>
      <c r="HQ33" s="372"/>
      <c r="HR33" s="372"/>
      <c r="HS33" s="372"/>
      <c r="HT33" s="372"/>
      <c r="HU33" s="372"/>
      <c r="HV33" s="372"/>
      <c r="HW33" s="372"/>
      <c r="HX33" s="372"/>
      <c r="HY33" s="372"/>
      <c r="HZ33" s="372"/>
      <c r="IA33" s="372"/>
      <c r="IB33" s="372"/>
      <c r="IC33" s="372"/>
      <c r="ID33" s="372"/>
      <c r="IE33" s="372"/>
      <c r="IF33" s="372"/>
      <c r="IG33" s="372"/>
      <c r="IH33" s="372"/>
      <c r="II33" s="372"/>
      <c r="IJ33" s="372"/>
      <c r="IK33" s="372"/>
      <c r="IL33" s="372"/>
      <c r="IM33" s="372"/>
      <c r="IN33" s="372"/>
      <c r="IO33" s="372"/>
      <c r="IP33" s="372"/>
      <c r="IQ33" s="372"/>
      <c r="IR33" s="372"/>
      <c r="IS33" s="372"/>
      <c r="IT33" s="372"/>
      <c r="IU33" s="372"/>
      <c r="IV33" s="372"/>
    </row>
    <row r="34" spans="10:256" ht="30">
      <c r="J34" s="440"/>
      <c r="K34" s="440"/>
      <c r="N34" s="372"/>
      <c r="O34" s="372"/>
      <c r="P34" s="373"/>
      <c r="Q34" s="373"/>
      <c r="R34" s="373"/>
      <c r="S34" s="373"/>
      <c r="T34" s="373"/>
      <c r="U34" s="373"/>
      <c r="V34" s="373"/>
      <c r="W34" s="373"/>
      <c r="X34" s="373"/>
      <c r="Y34" s="373"/>
      <c r="Z34" s="373"/>
      <c r="AA34" s="373"/>
      <c r="AB34" s="373"/>
      <c r="AC34" s="373"/>
      <c r="AD34" s="373"/>
      <c r="AE34" s="373"/>
      <c r="AF34" s="373"/>
      <c r="AG34" s="373"/>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c r="CL34" s="372"/>
      <c r="CM34" s="372"/>
      <c r="CN34" s="372"/>
      <c r="CO34" s="372"/>
      <c r="CP34" s="372"/>
      <c r="CQ34" s="372"/>
      <c r="CR34" s="372"/>
      <c r="CS34" s="372"/>
      <c r="CT34" s="372"/>
      <c r="CU34" s="372"/>
      <c r="CV34" s="372"/>
      <c r="CW34" s="372"/>
      <c r="CX34" s="372"/>
      <c r="CY34" s="372"/>
      <c r="CZ34" s="372"/>
      <c r="DA34" s="372"/>
      <c r="DB34" s="372"/>
      <c r="DC34" s="372"/>
      <c r="DD34" s="372"/>
      <c r="DE34" s="372"/>
      <c r="DF34" s="372"/>
      <c r="DG34" s="372"/>
      <c r="DH34" s="372"/>
      <c r="DI34" s="372"/>
      <c r="DJ34" s="372"/>
      <c r="DK34" s="372"/>
      <c r="DL34" s="372"/>
      <c r="DM34" s="372"/>
      <c r="DN34" s="372"/>
      <c r="DO34" s="372"/>
      <c r="DP34" s="372"/>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72"/>
      <c r="EV34" s="372"/>
      <c r="EW34" s="372"/>
      <c r="EX34" s="372"/>
      <c r="EY34" s="372"/>
      <c r="EZ34" s="372"/>
      <c r="FA34" s="372"/>
      <c r="FB34" s="372"/>
      <c r="FC34" s="372"/>
      <c r="FD34" s="372"/>
      <c r="FE34" s="372"/>
      <c r="FF34" s="372"/>
      <c r="FG34" s="372"/>
      <c r="FH34" s="372"/>
      <c r="FI34" s="372"/>
      <c r="FJ34" s="372"/>
      <c r="FK34" s="372"/>
      <c r="FL34" s="372"/>
      <c r="FM34" s="372"/>
      <c r="FN34" s="372"/>
      <c r="FO34" s="372"/>
      <c r="FP34" s="372"/>
      <c r="FQ34" s="372"/>
      <c r="FR34" s="372"/>
      <c r="FS34" s="372"/>
      <c r="FT34" s="372"/>
      <c r="FU34" s="372"/>
      <c r="FV34" s="372"/>
      <c r="FW34" s="372"/>
      <c r="FX34" s="372"/>
      <c r="FY34" s="372"/>
      <c r="FZ34" s="372"/>
      <c r="GA34" s="372"/>
      <c r="GB34" s="372"/>
      <c r="GC34" s="372"/>
      <c r="GD34" s="372"/>
      <c r="GE34" s="372"/>
      <c r="GF34" s="372"/>
      <c r="GG34" s="372"/>
      <c r="GH34" s="372"/>
      <c r="GI34" s="372"/>
      <c r="GJ34" s="372"/>
      <c r="GK34" s="372"/>
      <c r="GL34" s="372"/>
      <c r="GM34" s="372"/>
      <c r="GN34" s="372"/>
      <c r="GO34" s="372"/>
      <c r="GP34" s="372"/>
      <c r="GQ34" s="372"/>
      <c r="GR34" s="372"/>
      <c r="GS34" s="372"/>
      <c r="GT34" s="372"/>
      <c r="GU34" s="372"/>
      <c r="GV34" s="372"/>
      <c r="GW34" s="372"/>
      <c r="GX34" s="372"/>
      <c r="GY34" s="372"/>
      <c r="GZ34" s="372"/>
      <c r="HA34" s="372"/>
      <c r="HB34" s="372"/>
      <c r="HC34" s="372"/>
      <c r="HD34" s="372"/>
      <c r="HE34" s="372"/>
      <c r="HF34" s="372"/>
      <c r="HG34" s="372"/>
      <c r="HH34" s="372"/>
      <c r="HI34" s="372"/>
      <c r="HJ34" s="372"/>
      <c r="HK34" s="372"/>
      <c r="HL34" s="372"/>
      <c r="HM34" s="372"/>
      <c r="HN34" s="372"/>
      <c r="HO34" s="372"/>
      <c r="HP34" s="372"/>
      <c r="HQ34" s="372"/>
      <c r="HR34" s="372"/>
      <c r="HS34" s="372"/>
      <c r="HT34" s="372"/>
      <c r="HU34" s="372"/>
      <c r="HV34" s="372"/>
      <c r="HW34" s="372"/>
      <c r="HX34" s="372"/>
      <c r="HY34" s="372"/>
      <c r="HZ34" s="372"/>
      <c r="IA34" s="372"/>
      <c r="IB34" s="372"/>
      <c r="IC34" s="372"/>
      <c r="ID34" s="372"/>
      <c r="IE34" s="372"/>
      <c r="IF34" s="372"/>
      <c r="IG34" s="372"/>
      <c r="IH34" s="372"/>
      <c r="II34" s="372"/>
      <c r="IJ34" s="372"/>
      <c r="IK34" s="372"/>
      <c r="IL34" s="372"/>
      <c r="IM34" s="372"/>
      <c r="IN34" s="372"/>
      <c r="IO34" s="372"/>
      <c r="IP34" s="372"/>
      <c r="IQ34" s="372"/>
      <c r="IR34" s="372"/>
      <c r="IS34" s="372"/>
      <c r="IT34" s="372"/>
      <c r="IU34" s="372"/>
      <c r="IV34" s="372"/>
    </row>
    <row r="35" spans="10:256" ht="30">
      <c r="J35" s="440"/>
      <c r="K35" s="440"/>
      <c r="N35" s="372"/>
      <c r="O35" s="372"/>
      <c r="P35" s="373"/>
      <c r="Q35" s="373"/>
      <c r="R35" s="373"/>
      <c r="S35" s="373"/>
      <c r="T35" s="373"/>
      <c r="U35" s="373"/>
      <c r="V35" s="373"/>
      <c r="W35" s="373"/>
      <c r="X35" s="373"/>
      <c r="Y35" s="373"/>
      <c r="Z35" s="373"/>
      <c r="AA35" s="373"/>
      <c r="AB35" s="373"/>
      <c r="AC35" s="373"/>
      <c r="AD35" s="373"/>
      <c r="AE35" s="373"/>
      <c r="AF35" s="373"/>
      <c r="AG35" s="373"/>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c r="CS35" s="372"/>
      <c r="CT35" s="372"/>
      <c r="CU35" s="372"/>
      <c r="CV35" s="372"/>
      <c r="CW35" s="372"/>
      <c r="CX35" s="372"/>
      <c r="CY35" s="372"/>
      <c r="CZ35" s="372"/>
      <c r="DA35" s="372"/>
      <c r="DB35" s="372"/>
      <c r="DC35" s="372"/>
      <c r="DD35" s="372"/>
      <c r="DE35" s="372"/>
      <c r="DF35" s="372"/>
      <c r="DG35" s="372"/>
      <c r="DH35" s="372"/>
      <c r="DI35" s="372"/>
      <c r="DJ35" s="372"/>
      <c r="DK35" s="372"/>
      <c r="DL35" s="372"/>
      <c r="DM35" s="372"/>
      <c r="DN35" s="372"/>
      <c r="DO35" s="372"/>
      <c r="DP35" s="372"/>
      <c r="DQ35" s="372"/>
      <c r="DR35" s="372"/>
      <c r="DS35" s="372"/>
      <c r="DT35" s="372"/>
      <c r="DU35" s="372"/>
      <c r="DV35" s="372"/>
      <c r="DW35" s="372"/>
      <c r="DX35" s="372"/>
      <c r="DY35" s="372"/>
      <c r="DZ35" s="372"/>
      <c r="EA35" s="372"/>
      <c r="EB35" s="372"/>
      <c r="EC35" s="372"/>
      <c r="ED35" s="372"/>
      <c r="EE35" s="372"/>
      <c r="EF35" s="372"/>
      <c r="EG35" s="372"/>
      <c r="EH35" s="372"/>
      <c r="EI35" s="372"/>
      <c r="EJ35" s="372"/>
      <c r="EK35" s="372"/>
      <c r="EL35" s="372"/>
      <c r="EM35" s="372"/>
      <c r="EN35" s="372"/>
      <c r="EO35" s="372"/>
      <c r="EP35" s="372"/>
      <c r="EQ35" s="372"/>
      <c r="ER35" s="372"/>
      <c r="ES35" s="372"/>
      <c r="ET35" s="372"/>
      <c r="EU35" s="372"/>
      <c r="EV35" s="372"/>
      <c r="EW35" s="372"/>
      <c r="EX35" s="372"/>
      <c r="EY35" s="372"/>
      <c r="EZ35" s="372"/>
      <c r="FA35" s="372"/>
      <c r="FB35" s="372"/>
      <c r="FC35" s="372"/>
      <c r="FD35" s="372"/>
      <c r="FE35" s="372"/>
      <c r="FF35" s="372"/>
      <c r="FG35" s="372"/>
      <c r="FH35" s="372"/>
      <c r="FI35" s="372"/>
      <c r="FJ35" s="372"/>
      <c r="FK35" s="372"/>
      <c r="FL35" s="372"/>
      <c r="FM35" s="372"/>
      <c r="FN35" s="372"/>
      <c r="FO35" s="372"/>
      <c r="FP35" s="372"/>
      <c r="FQ35" s="372"/>
      <c r="FR35" s="372"/>
      <c r="FS35" s="372"/>
      <c r="FT35" s="372"/>
      <c r="FU35" s="372"/>
      <c r="FV35" s="372"/>
      <c r="FW35" s="372"/>
      <c r="FX35" s="372"/>
      <c r="FY35" s="372"/>
      <c r="FZ35" s="372"/>
      <c r="GA35" s="372"/>
      <c r="GB35" s="372"/>
      <c r="GC35" s="372"/>
      <c r="GD35" s="372"/>
      <c r="GE35" s="372"/>
      <c r="GF35" s="372"/>
      <c r="GG35" s="372"/>
      <c r="GH35" s="372"/>
      <c r="GI35" s="372"/>
      <c r="GJ35" s="372"/>
      <c r="GK35" s="372"/>
      <c r="GL35" s="372"/>
      <c r="GM35" s="372"/>
      <c r="GN35" s="372"/>
      <c r="GO35" s="372"/>
      <c r="GP35" s="372"/>
      <c r="GQ35" s="372"/>
      <c r="GR35" s="372"/>
      <c r="GS35" s="372"/>
      <c r="GT35" s="372"/>
      <c r="GU35" s="372"/>
      <c r="GV35" s="372"/>
      <c r="GW35" s="372"/>
      <c r="GX35" s="372"/>
      <c r="GY35" s="372"/>
      <c r="GZ35" s="372"/>
      <c r="HA35" s="372"/>
      <c r="HB35" s="372"/>
      <c r="HC35" s="372"/>
      <c r="HD35" s="372"/>
      <c r="HE35" s="372"/>
      <c r="HF35" s="372"/>
      <c r="HG35" s="372"/>
      <c r="HH35" s="372"/>
      <c r="HI35" s="372"/>
      <c r="HJ35" s="372"/>
      <c r="HK35" s="372"/>
      <c r="HL35" s="372"/>
      <c r="HM35" s="372"/>
      <c r="HN35" s="372"/>
      <c r="HO35" s="372"/>
      <c r="HP35" s="372"/>
      <c r="HQ35" s="372"/>
      <c r="HR35" s="372"/>
      <c r="HS35" s="372"/>
      <c r="HT35" s="372"/>
      <c r="HU35" s="372"/>
      <c r="HV35" s="372"/>
      <c r="HW35" s="372"/>
      <c r="HX35" s="372"/>
      <c r="HY35" s="372"/>
      <c r="HZ35" s="372"/>
      <c r="IA35" s="372"/>
      <c r="IB35" s="372"/>
      <c r="IC35" s="372"/>
      <c r="ID35" s="372"/>
      <c r="IE35" s="372"/>
      <c r="IF35" s="372"/>
      <c r="IG35" s="372"/>
      <c r="IH35" s="372"/>
      <c r="II35" s="372"/>
      <c r="IJ35" s="372"/>
      <c r="IK35" s="372"/>
      <c r="IL35" s="372"/>
      <c r="IM35" s="372"/>
      <c r="IN35" s="372"/>
      <c r="IO35" s="372"/>
      <c r="IP35" s="372"/>
      <c r="IQ35" s="372"/>
      <c r="IR35" s="372"/>
      <c r="IS35" s="372"/>
      <c r="IT35" s="372"/>
      <c r="IU35" s="372"/>
      <c r="IV35" s="372"/>
    </row>
    <row r="36" spans="10:256" ht="30">
      <c r="J36" s="440"/>
      <c r="K36" s="440"/>
      <c r="N36" s="372"/>
      <c r="O36" s="372"/>
      <c r="P36" s="373"/>
      <c r="Q36" s="373"/>
      <c r="R36" s="373"/>
      <c r="S36" s="373"/>
      <c r="T36" s="373"/>
      <c r="U36" s="373"/>
      <c r="V36" s="373"/>
      <c r="W36" s="373"/>
      <c r="X36" s="373"/>
      <c r="Y36" s="373"/>
      <c r="Z36" s="373"/>
      <c r="AA36" s="373"/>
      <c r="AB36" s="373"/>
      <c r="AC36" s="373"/>
      <c r="AD36" s="373"/>
      <c r="AE36" s="373"/>
      <c r="AF36" s="373"/>
      <c r="AG36" s="373"/>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372"/>
      <c r="CV36" s="372"/>
      <c r="CW36" s="372"/>
      <c r="CX36" s="372"/>
      <c r="CY36" s="372"/>
      <c r="CZ36" s="372"/>
      <c r="DA36" s="372"/>
      <c r="DB36" s="372"/>
      <c r="DC36" s="372"/>
      <c r="DD36" s="372"/>
      <c r="DE36" s="372"/>
      <c r="DF36" s="372"/>
      <c r="DG36" s="372"/>
      <c r="DH36" s="372"/>
      <c r="DI36" s="372"/>
      <c r="DJ36" s="372"/>
      <c r="DK36" s="372"/>
      <c r="DL36" s="372"/>
      <c r="DM36" s="372"/>
      <c r="DN36" s="372"/>
      <c r="DO36" s="372"/>
      <c r="DP36" s="372"/>
      <c r="DQ36" s="372"/>
      <c r="DR36" s="372"/>
      <c r="DS36" s="372"/>
      <c r="DT36" s="372"/>
      <c r="DU36" s="372"/>
      <c r="DV36" s="372"/>
      <c r="DW36" s="372"/>
      <c r="DX36" s="372"/>
      <c r="DY36" s="372"/>
      <c r="DZ36" s="372"/>
      <c r="EA36" s="372"/>
      <c r="EB36" s="372"/>
      <c r="EC36" s="372"/>
      <c r="ED36" s="372"/>
      <c r="EE36" s="372"/>
      <c r="EF36" s="372"/>
      <c r="EG36" s="372"/>
      <c r="EH36" s="372"/>
      <c r="EI36" s="372"/>
      <c r="EJ36" s="372"/>
      <c r="EK36" s="372"/>
      <c r="EL36" s="372"/>
      <c r="EM36" s="372"/>
      <c r="EN36" s="372"/>
      <c r="EO36" s="372"/>
      <c r="EP36" s="372"/>
      <c r="EQ36" s="372"/>
      <c r="ER36" s="372"/>
      <c r="ES36" s="372"/>
      <c r="ET36" s="372"/>
      <c r="EU36" s="372"/>
      <c r="EV36" s="372"/>
      <c r="EW36" s="372"/>
      <c r="EX36" s="372"/>
      <c r="EY36" s="372"/>
      <c r="EZ36" s="372"/>
      <c r="FA36" s="372"/>
      <c r="FB36" s="372"/>
      <c r="FC36" s="372"/>
      <c r="FD36" s="372"/>
      <c r="FE36" s="372"/>
      <c r="FF36" s="372"/>
      <c r="FG36" s="372"/>
      <c r="FH36" s="372"/>
      <c r="FI36" s="372"/>
      <c r="FJ36" s="372"/>
      <c r="FK36" s="372"/>
      <c r="FL36" s="372"/>
      <c r="FM36" s="372"/>
      <c r="FN36" s="372"/>
      <c r="FO36" s="372"/>
      <c r="FP36" s="372"/>
      <c r="FQ36" s="372"/>
      <c r="FR36" s="372"/>
      <c r="FS36" s="372"/>
      <c r="FT36" s="372"/>
      <c r="FU36" s="372"/>
      <c r="FV36" s="372"/>
      <c r="FW36" s="372"/>
      <c r="FX36" s="372"/>
      <c r="FY36" s="372"/>
      <c r="FZ36" s="372"/>
      <c r="GA36" s="372"/>
      <c r="GB36" s="372"/>
      <c r="GC36" s="372"/>
      <c r="GD36" s="372"/>
      <c r="GE36" s="372"/>
      <c r="GF36" s="372"/>
      <c r="GG36" s="372"/>
      <c r="GH36" s="372"/>
      <c r="GI36" s="372"/>
      <c r="GJ36" s="372"/>
      <c r="GK36" s="372"/>
      <c r="GL36" s="372"/>
      <c r="GM36" s="372"/>
      <c r="GN36" s="372"/>
      <c r="GO36" s="372"/>
      <c r="GP36" s="372"/>
      <c r="GQ36" s="372"/>
      <c r="GR36" s="372"/>
      <c r="GS36" s="372"/>
      <c r="GT36" s="372"/>
      <c r="GU36" s="372"/>
      <c r="GV36" s="372"/>
      <c r="GW36" s="372"/>
      <c r="GX36" s="372"/>
      <c r="GY36" s="372"/>
      <c r="GZ36" s="372"/>
      <c r="HA36" s="372"/>
      <c r="HB36" s="372"/>
      <c r="HC36" s="372"/>
      <c r="HD36" s="372"/>
      <c r="HE36" s="372"/>
      <c r="HF36" s="372"/>
      <c r="HG36" s="372"/>
      <c r="HH36" s="372"/>
      <c r="HI36" s="372"/>
      <c r="HJ36" s="372"/>
      <c r="HK36" s="372"/>
      <c r="HL36" s="372"/>
      <c r="HM36" s="372"/>
      <c r="HN36" s="372"/>
      <c r="HO36" s="372"/>
      <c r="HP36" s="372"/>
      <c r="HQ36" s="372"/>
      <c r="HR36" s="372"/>
      <c r="HS36" s="372"/>
      <c r="HT36" s="372"/>
      <c r="HU36" s="372"/>
      <c r="HV36" s="372"/>
      <c r="HW36" s="372"/>
      <c r="HX36" s="372"/>
      <c r="HY36" s="372"/>
      <c r="HZ36" s="372"/>
      <c r="IA36" s="372"/>
      <c r="IB36" s="372"/>
      <c r="IC36" s="372"/>
      <c r="ID36" s="372"/>
      <c r="IE36" s="372"/>
      <c r="IF36" s="372"/>
      <c r="IG36" s="372"/>
      <c r="IH36" s="372"/>
      <c r="II36" s="372"/>
      <c r="IJ36" s="372"/>
      <c r="IK36" s="372"/>
      <c r="IL36" s="372"/>
      <c r="IM36" s="372"/>
      <c r="IN36" s="372"/>
      <c r="IO36" s="372"/>
      <c r="IP36" s="372"/>
      <c r="IQ36" s="372"/>
      <c r="IR36" s="372"/>
      <c r="IS36" s="372"/>
      <c r="IT36" s="372"/>
      <c r="IU36" s="372"/>
      <c r="IV36" s="372"/>
    </row>
    <row r="37" spans="10:256" ht="30">
      <c r="J37" s="440"/>
      <c r="K37" s="440"/>
      <c r="N37" s="372"/>
      <c r="O37" s="372"/>
      <c r="P37" s="373"/>
      <c r="Q37" s="373"/>
      <c r="R37" s="373"/>
      <c r="S37" s="373"/>
      <c r="T37" s="373"/>
      <c r="U37" s="373"/>
      <c r="V37" s="373"/>
      <c r="W37" s="373"/>
      <c r="X37" s="373"/>
      <c r="Y37" s="373"/>
      <c r="Z37" s="373"/>
      <c r="AA37" s="373"/>
      <c r="AB37" s="373"/>
      <c r="AC37" s="373"/>
      <c r="AD37" s="373"/>
      <c r="AE37" s="373"/>
      <c r="AF37" s="373"/>
      <c r="AG37" s="373"/>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372"/>
      <c r="BQ37" s="372"/>
      <c r="BR37" s="372"/>
      <c r="BS37" s="372"/>
      <c r="BT37" s="372"/>
      <c r="BU37" s="372"/>
      <c r="BV37" s="372"/>
      <c r="BW37" s="372"/>
      <c r="BX37" s="372"/>
      <c r="BY37" s="372"/>
      <c r="BZ37" s="372"/>
      <c r="CA37" s="372"/>
      <c r="CB37" s="372"/>
      <c r="CC37" s="372"/>
      <c r="CD37" s="372"/>
      <c r="CE37" s="372"/>
      <c r="CF37" s="372"/>
      <c r="CG37" s="372"/>
      <c r="CH37" s="372"/>
      <c r="CI37" s="372"/>
      <c r="CJ37" s="372"/>
      <c r="CK37" s="372"/>
      <c r="CL37" s="372"/>
      <c r="CM37" s="372"/>
      <c r="CN37" s="372"/>
      <c r="CO37" s="372"/>
      <c r="CP37" s="372"/>
      <c r="CQ37" s="372"/>
      <c r="CR37" s="372"/>
      <c r="CS37" s="372"/>
      <c r="CT37" s="372"/>
      <c r="CU37" s="372"/>
      <c r="CV37" s="372"/>
      <c r="CW37" s="372"/>
      <c r="CX37" s="372"/>
      <c r="CY37" s="372"/>
      <c r="CZ37" s="372"/>
      <c r="DA37" s="372"/>
      <c r="DB37" s="372"/>
      <c r="DC37" s="372"/>
      <c r="DD37" s="372"/>
      <c r="DE37" s="372"/>
      <c r="DF37" s="372"/>
      <c r="DG37" s="372"/>
      <c r="DH37" s="372"/>
      <c r="DI37" s="372"/>
      <c r="DJ37" s="372"/>
      <c r="DK37" s="372"/>
      <c r="DL37" s="372"/>
      <c r="DM37" s="372"/>
      <c r="DN37" s="372"/>
      <c r="DO37" s="372"/>
      <c r="DP37" s="372"/>
      <c r="DQ37" s="372"/>
      <c r="DR37" s="372"/>
      <c r="DS37" s="372"/>
      <c r="DT37" s="372"/>
      <c r="DU37" s="372"/>
      <c r="DV37" s="372"/>
      <c r="DW37" s="372"/>
      <c r="DX37" s="372"/>
      <c r="DY37" s="372"/>
      <c r="DZ37" s="372"/>
      <c r="EA37" s="372"/>
      <c r="EB37" s="372"/>
      <c r="EC37" s="372"/>
      <c r="ED37" s="372"/>
      <c r="EE37" s="372"/>
      <c r="EF37" s="372"/>
      <c r="EG37" s="372"/>
      <c r="EH37" s="372"/>
      <c r="EI37" s="372"/>
      <c r="EJ37" s="372"/>
      <c r="EK37" s="372"/>
      <c r="EL37" s="372"/>
      <c r="EM37" s="372"/>
      <c r="EN37" s="372"/>
      <c r="EO37" s="372"/>
      <c r="EP37" s="372"/>
      <c r="EQ37" s="372"/>
      <c r="ER37" s="372"/>
      <c r="ES37" s="372"/>
      <c r="ET37" s="372"/>
      <c r="EU37" s="372"/>
      <c r="EV37" s="372"/>
      <c r="EW37" s="372"/>
      <c r="EX37" s="372"/>
      <c r="EY37" s="372"/>
      <c r="EZ37" s="372"/>
      <c r="FA37" s="372"/>
      <c r="FB37" s="372"/>
      <c r="FC37" s="372"/>
      <c r="FD37" s="372"/>
      <c r="FE37" s="372"/>
      <c r="FF37" s="372"/>
      <c r="FG37" s="372"/>
      <c r="FH37" s="372"/>
      <c r="FI37" s="372"/>
      <c r="FJ37" s="372"/>
      <c r="FK37" s="372"/>
      <c r="FL37" s="372"/>
      <c r="FM37" s="372"/>
      <c r="FN37" s="372"/>
      <c r="FO37" s="372"/>
      <c r="FP37" s="372"/>
      <c r="FQ37" s="372"/>
      <c r="FR37" s="372"/>
      <c r="FS37" s="372"/>
      <c r="FT37" s="372"/>
      <c r="FU37" s="372"/>
      <c r="FV37" s="372"/>
      <c r="FW37" s="372"/>
      <c r="FX37" s="372"/>
      <c r="FY37" s="372"/>
      <c r="FZ37" s="372"/>
      <c r="GA37" s="372"/>
      <c r="GB37" s="372"/>
      <c r="GC37" s="372"/>
      <c r="GD37" s="372"/>
      <c r="GE37" s="372"/>
      <c r="GF37" s="372"/>
      <c r="GG37" s="372"/>
      <c r="GH37" s="372"/>
      <c r="GI37" s="372"/>
      <c r="GJ37" s="372"/>
      <c r="GK37" s="372"/>
      <c r="GL37" s="372"/>
      <c r="GM37" s="372"/>
      <c r="GN37" s="372"/>
      <c r="GO37" s="372"/>
      <c r="GP37" s="372"/>
      <c r="GQ37" s="372"/>
      <c r="GR37" s="372"/>
      <c r="GS37" s="372"/>
      <c r="GT37" s="372"/>
      <c r="GU37" s="372"/>
      <c r="GV37" s="372"/>
      <c r="GW37" s="372"/>
      <c r="GX37" s="372"/>
      <c r="GY37" s="372"/>
      <c r="GZ37" s="372"/>
      <c r="HA37" s="372"/>
      <c r="HB37" s="372"/>
      <c r="HC37" s="372"/>
      <c r="HD37" s="372"/>
      <c r="HE37" s="372"/>
      <c r="HF37" s="372"/>
      <c r="HG37" s="372"/>
      <c r="HH37" s="372"/>
      <c r="HI37" s="372"/>
      <c r="HJ37" s="372"/>
      <c r="HK37" s="372"/>
      <c r="HL37" s="372"/>
      <c r="HM37" s="372"/>
      <c r="HN37" s="372"/>
      <c r="HO37" s="372"/>
      <c r="HP37" s="372"/>
      <c r="HQ37" s="372"/>
      <c r="HR37" s="372"/>
      <c r="HS37" s="372"/>
      <c r="HT37" s="372"/>
      <c r="HU37" s="372"/>
      <c r="HV37" s="372"/>
      <c r="HW37" s="372"/>
      <c r="HX37" s="372"/>
      <c r="HY37" s="372"/>
      <c r="HZ37" s="372"/>
      <c r="IA37" s="372"/>
      <c r="IB37" s="372"/>
      <c r="IC37" s="372"/>
      <c r="ID37" s="372"/>
      <c r="IE37" s="372"/>
      <c r="IF37" s="372"/>
      <c r="IG37" s="372"/>
      <c r="IH37" s="372"/>
      <c r="II37" s="372"/>
      <c r="IJ37" s="372"/>
      <c r="IK37" s="372"/>
      <c r="IL37" s="372"/>
      <c r="IM37" s="372"/>
      <c r="IN37" s="372"/>
      <c r="IO37" s="372"/>
      <c r="IP37" s="372"/>
      <c r="IQ37" s="372"/>
      <c r="IR37" s="372"/>
      <c r="IS37" s="372"/>
      <c r="IT37" s="372"/>
      <c r="IU37" s="372"/>
      <c r="IV37" s="372"/>
    </row>
    <row r="38" spans="10:256" ht="30">
      <c r="J38" s="440"/>
      <c r="K38" s="440"/>
      <c r="N38" s="372"/>
      <c r="O38" s="372"/>
      <c r="P38" s="373"/>
      <c r="Q38" s="373"/>
      <c r="R38" s="373"/>
      <c r="S38" s="373"/>
      <c r="T38" s="373"/>
      <c r="U38" s="373"/>
      <c r="V38" s="373"/>
      <c r="W38" s="373"/>
      <c r="X38" s="373"/>
      <c r="Y38" s="373"/>
      <c r="Z38" s="373"/>
      <c r="AA38" s="373"/>
      <c r="AB38" s="373"/>
      <c r="AC38" s="373"/>
      <c r="AD38" s="373"/>
      <c r="AE38" s="373"/>
      <c r="AF38" s="373"/>
      <c r="AG38" s="373"/>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c r="DS38" s="372"/>
      <c r="DT38" s="372"/>
      <c r="DU38" s="372"/>
      <c r="DV38" s="372"/>
      <c r="DW38" s="372"/>
      <c r="DX38" s="372"/>
      <c r="DY38" s="372"/>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72"/>
      <c r="EV38" s="372"/>
      <c r="EW38" s="372"/>
      <c r="EX38" s="372"/>
      <c r="EY38" s="372"/>
      <c r="EZ38" s="372"/>
      <c r="FA38" s="372"/>
      <c r="FB38" s="372"/>
      <c r="FC38" s="372"/>
      <c r="FD38" s="372"/>
      <c r="FE38" s="372"/>
      <c r="FF38" s="372"/>
      <c r="FG38" s="372"/>
      <c r="FH38" s="372"/>
      <c r="FI38" s="372"/>
      <c r="FJ38" s="372"/>
      <c r="FK38" s="372"/>
      <c r="FL38" s="372"/>
      <c r="FM38" s="372"/>
      <c r="FN38" s="372"/>
      <c r="FO38" s="372"/>
      <c r="FP38" s="372"/>
      <c r="FQ38" s="372"/>
      <c r="FR38" s="372"/>
      <c r="FS38" s="372"/>
      <c r="FT38" s="372"/>
      <c r="FU38" s="372"/>
      <c r="FV38" s="372"/>
      <c r="FW38" s="372"/>
      <c r="FX38" s="372"/>
      <c r="FY38" s="372"/>
      <c r="FZ38" s="372"/>
      <c r="GA38" s="372"/>
      <c r="GB38" s="372"/>
      <c r="GC38" s="372"/>
      <c r="GD38" s="372"/>
      <c r="GE38" s="372"/>
      <c r="GF38" s="372"/>
      <c r="GG38" s="372"/>
      <c r="GH38" s="372"/>
      <c r="GI38" s="372"/>
      <c r="GJ38" s="372"/>
      <c r="GK38" s="372"/>
      <c r="GL38" s="372"/>
      <c r="GM38" s="372"/>
      <c r="GN38" s="372"/>
      <c r="GO38" s="372"/>
      <c r="GP38" s="372"/>
      <c r="GQ38" s="372"/>
      <c r="GR38" s="372"/>
      <c r="GS38" s="372"/>
      <c r="GT38" s="372"/>
      <c r="GU38" s="372"/>
      <c r="GV38" s="372"/>
      <c r="GW38" s="372"/>
      <c r="GX38" s="372"/>
      <c r="GY38" s="372"/>
      <c r="GZ38" s="372"/>
      <c r="HA38" s="372"/>
      <c r="HB38" s="372"/>
      <c r="HC38" s="372"/>
      <c r="HD38" s="372"/>
      <c r="HE38" s="372"/>
      <c r="HF38" s="372"/>
      <c r="HG38" s="372"/>
      <c r="HH38" s="372"/>
      <c r="HI38" s="372"/>
      <c r="HJ38" s="372"/>
      <c r="HK38" s="372"/>
      <c r="HL38" s="372"/>
      <c r="HM38" s="372"/>
      <c r="HN38" s="372"/>
      <c r="HO38" s="372"/>
      <c r="HP38" s="372"/>
      <c r="HQ38" s="372"/>
      <c r="HR38" s="372"/>
      <c r="HS38" s="372"/>
      <c r="HT38" s="372"/>
      <c r="HU38" s="372"/>
      <c r="HV38" s="372"/>
      <c r="HW38" s="372"/>
      <c r="HX38" s="372"/>
      <c r="HY38" s="372"/>
      <c r="HZ38" s="372"/>
      <c r="IA38" s="372"/>
      <c r="IB38" s="372"/>
      <c r="IC38" s="372"/>
      <c r="ID38" s="372"/>
      <c r="IE38" s="372"/>
      <c r="IF38" s="372"/>
      <c r="IG38" s="372"/>
      <c r="IH38" s="372"/>
      <c r="II38" s="372"/>
      <c r="IJ38" s="372"/>
      <c r="IK38" s="372"/>
      <c r="IL38" s="372"/>
      <c r="IM38" s="372"/>
      <c r="IN38" s="372"/>
      <c r="IO38" s="372"/>
      <c r="IP38" s="372"/>
      <c r="IQ38" s="372"/>
      <c r="IR38" s="372"/>
      <c r="IS38" s="372"/>
      <c r="IT38" s="372"/>
      <c r="IU38" s="372"/>
      <c r="IV38" s="372"/>
    </row>
    <row r="39" spans="10:21" ht="30">
      <c r="J39" s="440"/>
      <c r="K39" s="440"/>
      <c r="N39" s="441"/>
      <c r="O39" s="441"/>
      <c r="P39" s="442"/>
      <c r="Q39" s="442"/>
      <c r="R39" s="442"/>
      <c r="S39" s="442"/>
      <c r="T39" s="442"/>
      <c r="U39" s="442"/>
    </row>
    <row r="40" spans="10:21" ht="30">
      <c r="J40" s="440"/>
      <c r="K40" s="440"/>
      <c r="N40" s="441"/>
      <c r="O40" s="441"/>
      <c r="P40" s="442"/>
      <c r="Q40" s="442"/>
      <c r="R40" s="442"/>
      <c r="S40" s="442"/>
      <c r="T40" s="442"/>
      <c r="U40" s="442"/>
    </row>
    <row r="41" spans="10:21" ht="30">
      <c r="J41" s="440"/>
      <c r="K41" s="440"/>
      <c r="N41" s="441"/>
      <c r="O41" s="441"/>
      <c r="P41" s="442"/>
      <c r="Q41" s="442"/>
      <c r="R41" s="442"/>
      <c r="S41" s="442"/>
      <c r="T41" s="442"/>
      <c r="U41" s="442"/>
    </row>
    <row r="42" spans="10:21" ht="30">
      <c r="J42" s="440"/>
      <c r="K42" s="440"/>
      <c r="N42" s="441"/>
      <c r="O42" s="441"/>
      <c r="P42" s="442"/>
      <c r="Q42" s="442"/>
      <c r="R42" s="442"/>
      <c r="S42" s="442"/>
      <c r="T42" s="442"/>
      <c r="U42" s="442"/>
    </row>
    <row r="43" spans="10:21" ht="30">
      <c r="J43" s="440"/>
      <c r="K43" s="440"/>
      <c r="N43" s="441"/>
      <c r="O43" s="441"/>
      <c r="P43" s="442"/>
      <c r="Q43" s="442"/>
      <c r="R43" s="442"/>
      <c r="S43" s="442"/>
      <c r="T43" s="442"/>
      <c r="U43" s="442"/>
    </row>
    <row r="44" spans="10:21" ht="30">
      <c r="J44" s="440"/>
      <c r="K44" s="440"/>
      <c r="N44" s="441"/>
      <c r="O44" s="441"/>
      <c r="P44" s="442"/>
      <c r="Q44" s="442"/>
      <c r="R44" s="442"/>
      <c r="S44" s="442"/>
      <c r="T44" s="442"/>
      <c r="U44" s="442"/>
    </row>
    <row r="45" spans="10:21" ht="30">
      <c r="J45" s="440"/>
      <c r="K45" s="440"/>
      <c r="N45" s="441"/>
      <c r="O45" s="441"/>
      <c r="P45" s="442"/>
      <c r="Q45" s="442"/>
      <c r="R45" s="442"/>
      <c r="S45" s="442"/>
      <c r="T45" s="442"/>
      <c r="U45" s="442"/>
    </row>
    <row r="46" spans="10:21" ht="30">
      <c r="J46" s="440"/>
      <c r="K46" s="440"/>
      <c r="N46" s="441"/>
      <c r="O46" s="441"/>
      <c r="P46" s="442"/>
      <c r="Q46" s="442"/>
      <c r="R46" s="442"/>
      <c r="S46" s="442"/>
      <c r="T46" s="442"/>
      <c r="U46" s="442"/>
    </row>
    <row r="47" spans="10:21" ht="30">
      <c r="J47" s="440"/>
      <c r="K47" s="440"/>
      <c r="N47" s="441"/>
      <c r="O47" s="441"/>
      <c r="P47" s="442"/>
      <c r="Q47" s="442"/>
      <c r="R47" s="442"/>
      <c r="S47" s="442"/>
      <c r="T47" s="442"/>
      <c r="U47" s="442"/>
    </row>
    <row r="48" spans="10:21" ht="30">
      <c r="J48" s="440"/>
      <c r="K48" s="440"/>
      <c r="N48" s="441"/>
      <c r="O48" s="441"/>
      <c r="P48" s="442"/>
      <c r="Q48" s="442"/>
      <c r="R48" s="442"/>
      <c r="S48" s="442"/>
      <c r="T48" s="442"/>
      <c r="U48" s="442"/>
    </row>
    <row r="49" spans="10:21" ht="30">
      <c r="J49" s="440"/>
      <c r="K49" s="440"/>
      <c r="N49" s="441"/>
      <c r="O49" s="441"/>
      <c r="P49" s="442"/>
      <c r="Q49" s="442"/>
      <c r="R49" s="442"/>
      <c r="S49" s="442"/>
      <c r="T49" s="442"/>
      <c r="U49" s="442"/>
    </row>
    <row r="50" spans="10:21" ht="30">
      <c r="J50" s="440"/>
      <c r="K50" s="440"/>
      <c r="N50" s="441"/>
      <c r="O50" s="441"/>
      <c r="P50" s="442"/>
      <c r="Q50" s="442"/>
      <c r="R50" s="442"/>
      <c r="S50" s="442"/>
      <c r="T50" s="442"/>
      <c r="U50" s="442"/>
    </row>
    <row r="51" spans="10:21" ht="30">
      <c r="J51" s="440"/>
      <c r="K51" s="440"/>
      <c r="N51" s="441"/>
      <c r="O51" s="441"/>
      <c r="P51" s="442"/>
      <c r="Q51" s="442"/>
      <c r="R51" s="442"/>
      <c r="S51" s="442"/>
      <c r="T51" s="442"/>
      <c r="U51" s="442"/>
    </row>
    <row r="52" spans="10:21" ht="30">
      <c r="J52" s="440"/>
      <c r="K52" s="440"/>
      <c r="N52" s="441"/>
      <c r="O52" s="441"/>
      <c r="P52" s="442"/>
      <c r="Q52" s="442"/>
      <c r="R52" s="442"/>
      <c r="S52" s="442"/>
      <c r="T52" s="442"/>
      <c r="U52" s="442"/>
    </row>
    <row r="53" spans="10:21" ht="30">
      <c r="J53" s="440"/>
      <c r="K53" s="440"/>
      <c r="N53" s="441"/>
      <c r="O53" s="441"/>
      <c r="P53" s="442"/>
      <c r="Q53" s="442"/>
      <c r="R53" s="442"/>
      <c r="S53" s="442"/>
      <c r="T53" s="442"/>
      <c r="U53" s="442"/>
    </row>
    <row r="54" spans="10:21" ht="30">
      <c r="J54" s="440"/>
      <c r="K54" s="440"/>
      <c r="N54" s="441"/>
      <c r="O54" s="441"/>
      <c r="P54" s="442"/>
      <c r="Q54" s="442"/>
      <c r="R54" s="442"/>
      <c r="S54" s="442"/>
      <c r="T54" s="442"/>
      <c r="U54" s="442"/>
    </row>
    <row r="55" spans="10:21" ht="30">
      <c r="J55" s="440"/>
      <c r="K55" s="440"/>
      <c r="N55" s="441"/>
      <c r="O55" s="441"/>
      <c r="P55" s="442"/>
      <c r="Q55" s="442"/>
      <c r="R55" s="442"/>
      <c r="S55" s="442"/>
      <c r="T55" s="442"/>
      <c r="U55" s="442"/>
    </row>
    <row r="56" spans="10:21" ht="30">
      <c r="J56" s="440"/>
      <c r="K56" s="440"/>
      <c r="N56" s="441"/>
      <c r="O56" s="441"/>
      <c r="P56" s="442"/>
      <c r="Q56" s="442"/>
      <c r="R56" s="442"/>
      <c r="S56" s="442"/>
      <c r="T56" s="442"/>
      <c r="U56" s="442"/>
    </row>
    <row r="57" spans="10:21" ht="30">
      <c r="J57" s="440"/>
      <c r="K57" s="440"/>
      <c r="N57" s="441"/>
      <c r="O57" s="441"/>
      <c r="P57" s="442"/>
      <c r="Q57" s="442"/>
      <c r="R57" s="442"/>
      <c r="S57" s="442"/>
      <c r="T57" s="442"/>
      <c r="U57" s="442"/>
    </row>
    <row r="58" spans="10:21" ht="30">
      <c r="J58" s="440"/>
      <c r="K58" s="440"/>
      <c r="N58" s="441"/>
      <c r="O58" s="441"/>
      <c r="P58" s="442"/>
      <c r="Q58" s="442"/>
      <c r="R58" s="442"/>
      <c r="S58" s="442"/>
      <c r="T58" s="442"/>
      <c r="U58" s="442"/>
    </row>
    <row r="59" spans="10:21" ht="30">
      <c r="J59" s="440"/>
      <c r="K59" s="440"/>
      <c r="N59" s="441"/>
      <c r="O59" s="441"/>
      <c r="P59" s="442"/>
      <c r="Q59" s="442"/>
      <c r="R59" s="442"/>
      <c r="S59" s="442"/>
      <c r="T59" s="442"/>
      <c r="U59" s="442"/>
    </row>
    <row r="60" spans="10:21" ht="30">
      <c r="J60" s="440"/>
      <c r="K60" s="440"/>
      <c r="N60" s="441"/>
      <c r="O60" s="441"/>
      <c r="P60" s="442"/>
      <c r="Q60" s="442"/>
      <c r="R60" s="442"/>
      <c r="S60" s="442"/>
      <c r="T60" s="442"/>
      <c r="U60" s="442"/>
    </row>
    <row r="61" spans="10:21" ht="30">
      <c r="J61" s="440"/>
      <c r="K61" s="440"/>
      <c r="N61" s="441"/>
      <c r="O61" s="441"/>
      <c r="P61" s="442"/>
      <c r="Q61" s="442"/>
      <c r="R61" s="442"/>
      <c r="S61" s="442"/>
      <c r="T61" s="442"/>
      <c r="U61" s="442"/>
    </row>
    <row r="62" spans="10:21" ht="30">
      <c r="J62" s="440"/>
      <c r="K62" s="440"/>
      <c r="N62" s="441"/>
      <c r="O62" s="441"/>
      <c r="P62" s="442"/>
      <c r="Q62" s="442"/>
      <c r="R62" s="442"/>
      <c r="S62" s="442"/>
      <c r="T62" s="442"/>
      <c r="U62" s="442"/>
    </row>
    <row r="63" spans="10:21" ht="30">
      <c r="J63" s="440"/>
      <c r="K63" s="440"/>
      <c r="N63" s="441"/>
      <c r="O63" s="441"/>
      <c r="P63" s="442"/>
      <c r="Q63" s="442"/>
      <c r="R63" s="442"/>
      <c r="S63" s="442"/>
      <c r="T63" s="442"/>
      <c r="U63" s="442"/>
    </row>
    <row r="64" spans="10:21" ht="30">
      <c r="J64" s="440"/>
      <c r="K64" s="440"/>
      <c r="N64" s="441"/>
      <c r="O64" s="441"/>
      <c r="P64" s="442"/>
      <c r="Q64" s="442"/>
      <c r="R64" s="442"/>
      <c r="S64" s="442"/>
      <c r="T64" s="442"/>
      <c r="U64" s="442"/>
    </row>
    <row r="65" spans="10:21" ht="30">
      <c r="J65" s="440"/>
      <c r="K65" s="440"/>
      <c r="N65" s="441"/>
      <c r="O65" s="441"/>
      <c r="P65" s="442"/>
      <c r="Q65" s="442"/>
      <c r="R65" s="442"/>
      <c r="S65" s="442"/>
      <c r="T65" s="442"/>
      <c r="U65" s="442"/>
    </row>
    <row r="66" spans="10:21" ht="30">
      <c r="J66" s="440"/>
      <c r="K66" s="440"/>
      <c r="N66" s="441"/>
      <c r="O66" s="441"/>
      <c r="P66" s="442"/>
      <c r="Q66" s="442"/>
      <c r="R66" s="442"/>
      <c r="S66" s="442"/>
      <c r="T66" s="442"/>
      <c r="U66" s="442"/>
    </row>
    <row r="67" spans="10:21" ht="30">
      <c r="J67" s="440"/>
      <c r="K67" s="440"/>
      <c r="N67" s="441"/>
      <c r="O67" s="441"/>
      <c r="P67" s="442"/>
      <c r="Q67" s="442"/>
      <c r="R67" s="442"/>
      <c r="S67" s="442"/>
      <c r="T67" s="442"/>
      <c r="U67" s="442"/>
    </row>
    <row r="68" spans="10:21" ht="30">
      <c r="J68" s="440"/>
      <c r="K68" s="440"/>
      <c r="N68" s="441"/>
      <c r="O68" s="441"/>
      <c r="P68" s="442"/>
      <c r="Q68" s="442"/>
      <c r="R68" s="442"/>
      <c r="S68" s="442"/>
      <c r="T68" s="442"/>
      <c r="U68" s="442"/>
    </row>
    <row r="69" spans="10:21" ht="30">
      <c r="J69" s="440"/>
      <c r="K69" s="440"/>
      <c r="N69" s="441"/>
      <c r="O69" s="441"/>
      <c r="P69" s="442"/>
      <c r="Q69" s="442"/>
      <c r="R69" s="442"/>
      <c r="S69" s="442"/>
      <c r="T69" s="442"/>
      <c r="U69" s="442"/>
    </row>
    <row r="70" spans="10:21" ht="30">
      <c r="J70" s="440"/>
      <c r="K70" s="440"/>
      <c r="N70" s="441"/>
      <c r="O70" s="441"/>
      <c r="P70" s="442"/>
      <c r="Q70" s="442"/>
      <c r="R70" s="442"/>
      <c r="S70" s="442"/>
      <c r="T70" s="442"/>
      <c r="U70" s="442"/>
    </row>
    <row r="71" spans="10:21" ht="30">
      <c r="J71" s="440"/>
      <c r="K71" s="440"/>
      <c r="N71" s="441"/>
      <c r="O71" s="441"/>
      <c r="P71" s="442"/>
      <c r="Q71" s="442"/>
      <c r="R71" s="442"/>
      <c r="S71" s="442"/>
      <c r="T71" s="442"/>
      <c r="U71" s="442"/>
    </row>
    <row r="72" spans="10:21" ht="30">
      <c r="J72" s="440"/>
      <c r="K72" s="440"/>
      <c r="N72" s="441"/>
      <c r="O72" s="441"/>
      <c r="P72" s="442"/>
      <c r="Q72" s="442"/>
      <c r="R72" s="442"/>
      <c r="S72" s="442"/>
      <c r="T72" s="442"/>
      <c r="U72" s="442"/>
    </row>
    <row r="73" spans="10:21" ht="30">
      <c r="J73" s="440"/>
      <c r="K73" s="440"/>
      <c r="N73" s="441"/>
      <c r="O73" s="441"/>
      <c r="P73" s="442"/>
      <c r="Q73" s="442"/>
      <c r="R73" s="442"/>
      <c r="S73" s="442"/>
      <c r="T73" s="442"/>
      <c r="U73" s="442"/>
    </row>
    <row r="74" spans="10:21" ht="30">
      <c r="J74" s="440"/>
      <c r="K74" s="440"/>
      <c r="N74" s="441"/>
      <c r="O74" s="441"/>
      <c r="P74" s="442"/>
      <c r="Q74" s="442"/>
      <c r="R74" s="442"/>
      <c r="S74" s="442"/>
      <c r="T74" s="442"/>
      <c r="U74" s="442"/>
    </row>
    <row r="75" spans="10:21" ht="30">
      <c r="J75" s="440"/>
      <c r="K75" s="440"/>
      <c r="N75" s="441"/>
      <c r="O75" s="441"/>
      <c r="P75" s="442"/>
      <c r="Q75" s="442"/>
      <c r="R75" s="442"/>
      <c r="S75" s="442"/>
      <c r="T75" s="442"/>
      <c r="U75" s="442"/>
    </row>
    <row r="76" spans="10:21" ht="30">
      <c r="J76" s="440"/>
      <c r="K76" s="440"/>
      <c r="N76" s="441"/>
      <c r="O76" s="441"/>
      <c r="P76" s="442"/>
      <c r="Q76" s="442"/>
      <c r="R76" s="442"/>
      <c r="S76" s="442"/>
      <c r="T76" s="442"/>
      <c r="U76" s="442"/>
    </row>
    <row r="77" spans="10:21" ht="30">
      <c r="J77" s="440"/>
      <c r="K77" s="440"/>
      <c r="N77" s="441"/>
      <c r="O77" s="441"/>
      <c r="P77" s="442"/>
      <c r="Q77" s="442"/>
      <c r="R77" s="442"/>
      <c r="S77" s="442"/>
      <c r="T77" s="442"/>
      <c r="U77" s="442"/>
    </row>
    <row r="78" spans="10:21" ht="30">
      <c r="J78" s="440"/>
      <c r="K78" s="440"/>
      <c r="N78" s="441"/>
      <c r="O78" s="441"/>
      <c r="P78" s="442"/>
      <c r="Q78" s="442"/>
      <c r="R78" s="442"/>
      <c r="S78" s="442"/>
      <c r="T78" s="442"/>
      <c r="U78" s="442"/>
    </row>
    <row r="79" spans="10:21" ht="30">
      <c r="J79" s="440"/>
      <c r="K79" s="440"/>
      <c r="N79" s="441"/>
      <c r="O79" s="441"/>
      <c r="P79" s="442"/>
      <c r="Q79" s="442"/>
      <c r="R79" s="442"/>
      <c r="S79" s="442"/>
      <c r="T79" s="442"/>
      <c r="U79" s="442"/>
    </row>
    <row r="80" spans="10:21" ht="30">
      <c r="J80" s="440"/>
      <c r="K80" s="443"/>
      <c r="N80" s="441"/>
      <c r="O80" s="441"/>
      <c r="P80" s="442"/>
      <c r="Q80" s="442"/>
      <c r="R80" s="442"/>
      <c r="S80" s="442"/>
      <c r="T80" s="442"/>
      <c r="U80" s="442"/>
    </row>
    <row r="81" spans="10:21" ht="30">
      <c r="J81" s="440"/>
      <c r="K81" s="440"/>
      <c r="N81" s="441"/>
      <c r="O81" s="441"/>
      <c r="P81" s="442"/>
      <c r="Q81" s="442"/>
      <c r="R81" s="442"/>
      <c r="S81" s="442"/>
      <c r="T81" s="442"/>
      <c r="U81" s="442"/>
    </row>
    <row r="82" spans="10:21" ht="30">
      <c r="J82" s="440"/>
      <c r="K82" s="440"/>
      <c r="N82" s="441"/>
      <c r="O82" s="441"/>
      <c r="P82" s="442"/>
      <c r="Q82" s="442"/>
      <c r="R82" s="442"/>
      <c r="S82" s="442"/>
      <c r="T82" s="442"/>
      <c r="U82" s="442"/>
    </row>
    <row r="83" spans="10:21" ht="30">
      <c r="J83" s="440"/>
      <c r="K83" s="440"/>
      <c r="N83" s="441"/>
      <c r="O83" s="441"/>
      <c r="P83" s="442"/>
      <c r="Q83" s="442"/>
      <c r="R83" s="442"/>
      <c r="S83" s="442"/>
      <c r="T83" s="442"/>
      <c r="U83" s="442"/>
    </row>
    <row r="84" spans="10:21" ht="30">
      <c r="J84" s="440"/>
      <c r="K84" s="440"/>
      <c r="N84" s="441"/>
      <c r="O84" s="441"/>
      <c r="P84" s="442"/>
      <c r="Q84" s="442"/>
      <c r="R84" s="442"/>
      <c r="S84" s="442"/>
      <c r="T84" s="442"/>
      <c r="U84" s="442"/>
    </row>
    <row r="85" spans="10:21" ht="30">
      <c r="J85" s="440"/>
      <c r="K85" s="440"/>
      <c r="N85" s="441"/>
      <c r="O85" s="441"/>
      <c r="P85" s="442"/>
      <c r="Q85" s="442"/>
      <c r="R85" s="442"/>
      <c r="S85" s="442"/>
      <c r="T85" s="442"/>
      <c r="U85" s="442"/>
    </row>
    <row r="86" spans="10:21" ht="30">
      <c r="J86" s="440"/>
      <c r="K86" s="440"/>
      <c r="N86" s="441"/>
      <c r="O86" s="441"/>
      <c r="P86" s="442"/>
      <c r="Q86" s="442"/>
      <c r="R86" s="442"/>
      <c r="S86" s="442"/>
      <c r="T86" s="442"/>
      <c r="U86" s="442"/>
    </row>
    <row r="87" spans="10:21" ht="30">
      <c r="J87" s="440"/>
      <c r="K87" s="440"/>
      <c r="N87" s="441"/>
      <c r="O87" s="441"/>
      <c r="P87" s="442"/>
      <c r="Q87" s="442"/>
      <c r="R87" s="442"/>
      <c r="S87" s="442"/>
      <c r="T87" s="442"/>
      <c r="U87" s="442"/>
    </row>
    <row r="88" spans="10:21" ht="30">
      <c r="J88" s="440"/>
      <c r="K88" s="440"/>
      <c r="N88" s="441"/>
      <c r="O88" s="441"/>
      <c r="P88" s="442"/>
      <c r="Q88" s="442"/>
      <c r="R88" s="442"/>
      <c r="S88" s="442"/>
      <c r="T88" s="442"/>
      <c r="U88" s="442"/>
    </row>
    <row r="89" spans="10:21" ht="30">
      <c r="J89" s="440"/>
      <c r="K89" s="440"/>
      <c r="N89" s="441"/>
      <c r="O89" s="441"/>
      <c r="P89" s="442"/>
      <c r="Q89" s="442"/>
      <c r="R89" s="442"/>
      <c r="S89" s="442"/>
      <c r="T89" s="442"/>
      <c r="U89" s="442"/>
    </row>
    <row r="90" spans="10:21" ht="30">
      <c r="J90" s="440"/>
      <c r="K90" s="440"/>
      <c r="N90" s="441"/>
      <c r="O90" s="441"/>
      <c r="P90" s="442"/>
      <c r="Q90" s="442"/>
      <c r="R90" s="442"/>
      <c r="S90" s="442"/>
      <c r="T90" s="442"/>
      <c r="U90" s="442"/>
    </row>
    <row r="91" spans="10:21" ht="30">
      <c r="J91" s="440"/>
      <c r="K91" s="440"/>
      <c r="N91" s="441"/>
      <c r="O91" s="441"/>
      <c r="P91" s="442"/>
      <c r="Q91" s="442"/>
      <c r="R91" s="442"/>
      <c r="S91" s="442"/>
      <c r="T91" s="442"/>
      <c r="U91" s="442"/>
    </row>
    <row r="92" spans="10:21" ht="30">
      <c r="J92" s="440"/>
      <c r="K92" s="440"/>
      <c r="N92" s="441"/>
      <c r="O92" s="441"/>
      <c r="P92" s="442"/>
      <c r="Q92" s="442"/>
      <c r="R92" s="442"/>
      <c r="S92" s="442"/>
      <c r="T92" s="442"/>
      <c r="U92" s="442"/>
    </row>
    <row r="93" spans="10:21" ht="30">
      <c r="J93" s="440"/>
      <c r="K93" s="440"/>
      <c r="N93" s="441"/>
      <c r="O93" s="441"/>
      <c r="P93" s="442"/>
      <c r="Q93" s="442"/>
      <c r="R93" s="442"/>
      <c r="S93" s="442"/>
      <c r="T93" s="442"/>
      <c r="U93" s="442"/>
    </row>
    <row r="94" spans="10:21" ht="30">
      <c r="J94" s="440"/>
      <c r="K94" s="440"/>
      <c r="N94" s="441"/>
      <c r="O94" s="441"/>
      <c r="P94" s="442"/>
      <c r="Q94" s="442"/>
      <c r="R94" s="442"/>
      <c r="S94" s="442"/>
      <c r="T94" s="442"/>
      <c r="U94" s="442"/>
    </row>
    <row r="95" spans="10:21" ht="30">
      <c r="J95" s="440"/>
      <c r="K95" s="440"/>
      <c r="N95" s="441"/>
      <c r="O95" s="441"/>
      <c r="P95" s="442"/>
      <c r="Q95" s="442"/>
      <c r="R95" s="442"/>
      <c r="S95" s="442"/>
      <c r="T95" s="442"/>
      <c r="U95" s="442"/>
    </row>
    <row r="96" spans="10:21" ht="30">
      <c r="J96" s="440"/>
      <c r="K96" s="440"/>
      <c r="N96" s="441"/>
      <c r="O96" s="441"/>
      <c r="P96" s="442"/>
      <c r="Q96" s="442"/>
      <c r="R96" s="442"/>
      <c r="S96" s="442"/>
      <c r="T96" s="442"/>
      <c r="U96" s="442"/>
    </row>
    <row r="97" spans="10:21" ht="30">
      <c r="J97" s="440"/>
      <c r="K97" s="440"/>
      <c r="N97" s="441"/>
      <c r="O97" s="441"/>
      <c r="P97" s="442"/>
      <c r="Q97" s="442"/>
      <c r="R97" s="442"/>
      <c r="S97" s="442"/>
      <c r="T97" s="442"/>
      <c r="U97" s="442"/>
    </row>
    <row r="98" spans="10:21" ht="30">
      <c r="J98" s="440"/>
      <c r="K98" s="440"/>
      <c r="N98" s="441"/>
      <c r="O98" s="441"/>
      <c r="P98" s="442"/>
      <c r="Q98" s="442"/>
      <c r="R98" s="442"/>
      <c r="S98" s="442"/>
      <c r="T98" s="442"/>
      <c r="U98" s="442"/>
    </row>
    <row r="99" spans="10:21" ht="30">
      <c r="J99" s="440"/>
      <c r="K99" s="440"/>
      <c r="N99" s="441"/>
      <c r="O99" s="441"/>
      <c r="P99" s="442"/>
      <c r="Q99" s="442"/>
      <c r="R99" s="442"/>
      <c r="S99" s="442"/>
      <c r="T99" s="442"/>
      <c r="U99" s="442"/>
    </row>
    <row r="100" spans="10:21" ht="30">
      <c r="J100" s="440"/>
      <c r="K100" s="440"/>
      <c r="N100" s="441"/>
      <c r="O100" s="441"/>
      <c r="P100" s="442"/>
      <c r="Q100" s="442"/>
      <c r="R100" s="442"/>
      <c r="S100" s="442"/>
      <c r="T100" s="442"/>
      <c r="U100" s="442"/>
    </row>
    <row r="101" spans="10:21" ht="30">
      <c r="J101" s="440"/>
      <c r="K101" s="440"/>
      <c r="N101" s="441"/>
      <c r="O101" s="441"/>
      <c r="P101" s="442"/>
      <c r="Q101" s="442"/>
      <c r="R101" s="442"/>
      <c r="S101" s="442"/>
      <c r="T101" s="442"/>
      <c r="U101" s="442"/>
    </row>
    <row r="102" spans="10:21" ht="30">
      <c r="J102" s="440"/>
      <c r="K102" s="440"/>
      <c r="N102" s="441"/>
      <c r="O102" s="441"/>
      <c r="P102" s="442"/>
      <c r="Q102" s="442"/>
      <c r="R102" s="442"/>
      <c r="S102" s="442"/>
      <c r="T102" s="442"/>
      <c r="U102" s="442"/>
    </row>
    <row r="103" spans="10:21" ht="30">
      <c r="J103" s="440"/>
      <c r="K103" s="440"/>
      <c r="N103" s="441"/>
      <c r="O103" s="441"/>
      <c r="P103" s="442"/>
      <c r="Q103" s="442"/>
      <c r="R103" s="442"/>
      <c r="S103" s="442"/>
      <c r="T103" s="442"/>
      <c r="U103" s="442"/>
    </row>
    <row r="104" spans="10:21" ht="30">
      <c r="J104" s="440"/>
      <c r="K104" s="440"/>
      <c r="N104" s="441"/>
      <c r="O104" s="441"/>
      <c r="P104" s="442"/>
      <c r="Q104" s="442"/>
      <c r="R104" s="442"/>
      <c r="S104" s="442"/>
      <c r="T104" s="442"/>
      <c r="U104" s="442"/>
    </row>
    <row r="105" spans="10:21" ht="30">
      <c r="J105" s="440"/>
      <c r="K105" s="440"/>
      <c r="N105" s="441"/>
      <c r="O105" s="441"/>
      <c r="P105" s="442"/>
      <c r="Q105" s="442"/>
      <c r="R105" s="442"/>
      <c r="S105" s="442"/>
      <c r="T105" s="442"/>
      <c r="U105" s="442"/>
    </row>
    <row r="106" spans="10:21" ht="30">
      <c r="J106" s="440"/>
      <c r="K106" s="440"/>
      <c r="N106" s="441"/>
      <c r="O106" s="441"/>
      <c r="P106" s="442"/>
      <c r="Q106" s="442"/>
      <c r="R106" s="442"/>
      <c r="S106" s="442"/>
      <c r="T106" s="442"/>
      <c r="U106" s="442"/>
    </row>
    <row r="107" spans="10:21" ht="30">
      <c r="J107" s="440"/>
      <c r="K107" s="440"/>
      <c r="N107" s="441"/>
      <c r="O107" s="441"/>
      <c r="P107" s="442"/>
      <c r="Q107" s="442"/>
      <c r="R107" s="442"/>
      <c r="S107" s="442"/>
      <c r="T107" s="442"/>
      <c r="U107" s="442"/>
    </row>
    <row r="108" spans="10:21" ht="30">
      <c r="J108" s="440"/>
      <c r="K108" s="440"/>
      <c r="N108" s="441"/>
      <c r="O108" s="441"/>
      <c r="P108" s="442"/>
      <c r="Q108" s="442"/>
      <c r="R108" s="442"/>
      <c r="S108" s="442"/>
      <c r="T108" s="442"/>
      <c r="U108" s="442"/>
    </row>
    <row r="109" spans="10:21" ht="30">
      <c r="J109" s="440"/>
      <c r="K109" s="440"/>
      <c r="N109" s="441"/>
      <c r="O109" s="441"/>
      <c r="P109" s="442"/>
      <c r="Q109" s="442"/>
      <c r="R109" s="442"/>
      <c r="S109" s="442"/>
      <c r="T109" s="442"/>
      <c r="U109" s="442"/>
    </row>
    <row r="110" spans="10:21" ht="30">
      <c r="J110" s="440"/>
      <c r="K110" s="440"/>
      <c r="N110" s="441"/>
      <c r="O110" s="441"/>
      <c r="P110" s="442"/>
      <c r="Q110" s="442"/>
      <c r="R110" s="442"/>
      <c r="S110" s="442"/>
      <c r="T110" s="442"/>
      <c r="U110" s="442"/>
    </row>
    <row r="111" spans="10:21" ht="30">
      <c r="J111" s="440"/>
      <c r="K111" s="440"/>
      <c r="N111" s="441"/>
      <c r="O111" s="441"/>
      <c r="P111" s="442"/>
      <c r="Q111" s="442"/>
      <c r="R111" s="442"/>
      <c r="S111" s="442"/>
      <c r="T111" s="442"/>
      <c r="U111" s="442"/>
    </row>
    <row r="112" spans="10:21" ht="30">
      <c r="J112" s="440"/>
      <c r="K112" s="440"/>
      <c r="N112" s="441"/>
      <c r="O112" s="441"/>
      <c r="P112" s="442"/>
      <c r="Q112" s="442"/>
      <c r="R112" s="442"/>
      <c r="S112" s="442"/>
      <c r="T112" s="442"/>
      <c r="U112" s="442"/>
    </row>
    <row r="113" spans="10:21" ht="30">
      <c r="J113" s="440"/>
      <c r="K113" s="440"/>
      <c r="N113" s="441"/>
      <c r="O113" s="441"/>
      <c r="P113" s="442"/>
      <c r="Q113" s="442"/>
      <c r="R113" s="442"/>
      <c r="S113" s="442"/>
      <c r="T113" s="442"/>
      <c r="U113" s="442"/>
    </row>
    <row r="114" spans="10:21" ht="30">
      <c r="J114" s="440"/>
      <c r="K114" s="440"/>
      <c r="N114" s="441"/>
      <c r="O114" s="441"/>
      <c r="P114" s="442"/>
      <c r="Q114" s="442"/>
      <c r="R114" s="442"/>
      <c r="S114" s="442"/>
      <c r="T114" s="442"/>
      <c r="U114" s="442"/>
    </row>
    <row r="115" spans="10:21" ht="30">
      <c r="J115" s="440"/>
      <c r="K115" s="440"/>
      <c r="N115" s="441"/>
      <c r="O115" s="441"/>
      <c r="P115" s="442"/>
      <c r="Q115" s="442"/>
      <c r="R115" s="442"/>
      <c r="S115" s="442"/>
      <c r="T115" s="442"/>
      <c r="U115" s="442"/>
    </row>
    <row r="116" spans="10:21" ht="30">
      <c r="J116" s="440"/>
      <c r="K116" s="440"/>
      <c r="N116" s="441"/>
      <c r="O116" s="441"/>
      <c r="P116" s="442"/>
      <c r="Q116" s="442"/>
      <c r="R116" s="442"/>
      <c r="S116" s="442"/>
      <c r="T116" s="442"/>
      <c r="U116" s="442"/>
    </row>
    <row r="117" spans="10:21" ht="30">
      <c r="J117" s="440"/>
      <c r="K117" s="440"/>
      <c r="N117" s="441"/>
      <c r="O117" s="441"/>
      <c r="P117" s="442"/>
      <c r="Q117" s="442"/>
      <c r="R117" s="442"/>
      <c r="S117" s="442"/>
      <c r="T117" s="442"/>
      <c r="U117" s="442"/>
    </row>
    <row r="118" spans="10:21" ht="30">
      <c r="J118" s="440"/>
      <c r="K118" s="440"/>
      <c r="N118" s="441"/>
      <c r="O118" s="441"/>
      <c r="P118" s="442"/>
      <c r="Q118" s="442"/>
      <c r="R118" s="442"/>
      <c r="S118" s="442"/>
      <c r="T118" s="442"/>
      <c r="U118" s="442"/>
    </row>
    <row r="119" spans="10:21" ht="30">
      <c r="J119" s="440"/>
      <c r="K119" s="440"/>
      <c r="N119" s="441"/>
      <c r="O119" s="441"/>
      <c r="P119" s="442"/>
      <c r="Q119" s="442"/>
      <c r="R119" s="442"/>
      <c r="S119" s="442"/>
      <c r="T119" s="442"/>
      <c r="U119" s="442"/>
    </row>
    <row r="120" spans="10:21" ht="30">
      <c r="J120" s="440"/>
      <c r="K120" s="440"/>
      <c r="N120" s="441"/>
      <c r="O120" s="441"/>
      <c r="P120" s="442"/>
      <c r="Q120" s="442"/>
      <c r="R120" s="442"/>
      <c r="S120" s="442"/>
      <c r="T120" s="442"/>
      <c r="U120" s="442"/>
    </row>
    <row r="121" spans="10:21" ht="30">
      <c r="J121" s="440"/>
      <c r="K121" s="440"/>
      <c r="N121" s="441"/>
      <c r="O121" s="441"/>
      <c r="P121" s="442"/>
      <c r="Q121" s="442"/>
      <c r="R121" s="442"/>
      <c r="S121" s="442"/>
      <c r="T121" s="442"/>
      <c r="U121" s="442"/>
    </row>
    <row r="122" spans="10:21" ht="30">
      <c r="J122" s="440"/>
      <c r="K122" s="440"/>
      <c r="N122" s="441"/>
      <c r="O122" s="441"/>
      <c r="P122" s="442"/>
      <c r="Q122" s="442"/>
      <c r="R122" s="442"/>
      <c r="S122" s="442"/>
      <c r="T122" s="442"/>
      <c r="U122" s="442"/>
    </row>
    <row r="123" spans="10:21" ht="30">
      <c r="J123" s="440"/>
      <c r="K123" s="440"/>
      <c r="N123" s="441"/>
      <c r="O123" s="441"/>
      <c r="P123" s="442"/>
      <c r="Q123" s="442"/>
      <c r="R123" s="442"/>
      <c r="S123" s="442"/>
      <c r="T123" s="442"/>
      <c r="U123" s="442"/>
    </row>
    <row r="124" spans="10:21" ht="30">
      <c r="J124" s="440"/>
      <c r="K124" s="440"/>
      <c r="N124" s="441"/>
      <c r="O124" s="441"/>
      <c r="P124" s="442"/>
      <c r="Q124" s="442"/>
      <c r="R124" s="442"/>
      <c r="S124" s="442"/>
      <c r="T124" s="442"/>
      <c r="U124" s="442"/>
    </row>
    <row r="125" spans="10:21" ht="30">
      <c r="J125" s="440"/>
      <c r="K125" s="440"/>
      <c r="N125" s="441"/>
      <c r="O125" s="441"/>
      <c r="P125" s="442"/>
      <c r="Q125" s="442"/>
      <c r="R125" s="442"/>
      <c r="S125" s="442"/>
      <c r="T125" s="442"/>
      <c r="U125" s="442"/>
    </row>
    <row r="126" spans="10:21" ht="30">
      <c r="J126" s="440"/>
      <c r="K126" s="440"/>
      <c r="N126" s="441"/>
      <c r="O126" s="441"/>
      <c r="P126" s="442"/>
      <c r="Q126" s="442"/>
      <c r="R126" s="442"/>
      <c r="S126" s="442"/>
      <c r="T126" s="442"/>
      <c r="U126" s="442"/>
    </row>
    <row r="127" spans="10:21" ht="30">
      <c r="J127" s="440"/>
      <c r="K127" s="440"/>
      <c r="N127" s="441"/>
      <c r="O127" s="441"/>
      <c r="P127" s="442"/>
      <c r="Q127" s="442"/>
      <c r="R127" s="442"/>
      <c r="S127" s="442"/>
      <c r="T127" s="442"/>
      <c r="U127" s="442"/>
    </row>
    <row r="128" spans="10:21" ht="30">
      <c r="J128" s="440"/>
      <c r="K128" s="440"/>
      <c r="N128" s="441"/>
      <c r="O128" s="441"/>
      <c r="P128" s="442"/>
      <c r="Q128" s="442"/>
      <c r="R128" s="442"/>
      <c r="S128" s="442"/>
      <c r="T128" s="442"/>
      <c r="U128" s="442"/>
    </row>
    <row r="129" spans="10:21" ht="30">
      <c r="J129" s="440"/>
      <c r="K129" s="440"/>
      <c r="N129" s="441"/>
      <c r="O129" s="441"/>
      <c r="P129" s="442"/>
      <c r="Q129" s="442"/>
      <c r="R129" s="442"/>
      <c r="S129" s="442"/>
      <c r="T129" s="442"/>
      <c r="U129" s="442"/>
    </row>
    <row r="130" spans="10:21" ht="30">
      <c r="J130" s="440"/>
      <c r="K130" s="440"/>
      <c r="N130" s="441"/>
      <c r="O130" s="441"/>
      <c r="P130" s="442"/>
      <c r="Q130" s="442"/>
      <c r="R130" s="442"/>
      <c r="S130" s="442"/>
      <c r="T130" s="442"/>
      <c r="U130" s="442"/>
    </row>
    <row r="131" spans="10:21" ht="30">
      <c r="J131" s="440"/>
      <c r="K131" s="440"/>
      <c r="N131" s="441"/>
      <c r="O131" s="441"/>
      <c r="P131" s="442"/>
      <c r="Q131" s="442"/>
      <c r="R131" s="442"/>
      <c r="S131" s="442"/>
      <c r="T131" s="442"/>
      <c r="U131" s="442"/>
    </row>
    <row r="132" spans="10:21" ht="30">
      <c r="J132" s="440"/>
      <c r="K132" s="440"/>
      <c r="N132" s="441"/>
      <c r="O132" s="441"/>
      <c r="P132" s="442"/>
      <c r="Q132" s="442"/>
      <c r="R132" s="442"/>
      <c r="S132" s="442"/>
      <c r="T132" s="442"/>
      <c r="U132" s="442"/>
    </row>
    <row r="133" spans="10:21" ht="30">
      <c r="J133" s="440"/>
      <c r="K133" s="440"/>
      <c r="N133" s="441"/>
      <c r="O133" s="441"/>
      <c r="P133" s="442"/>
      <c r="Q133" s="442"/>
      <c r="R133" s="442"/>
      <c r="S133" s="442"/>
      <c r="T133" s="442"/>
      <c r="U133" s="442"/>
    </row>
    <row r="134" spans="10:21" ht="30">
      <c r="J134" s="440"/>
      <c r="K134" s="440"/>
      <c r="N134" s="441"/>
      <c r="O134" s="441"/>
      <c r="P134" s="442"/>
      <c r="Q134" s="442"/>
      <c r="R134" s="442"/>
      <c r="S134" s="442"/>
      <c r="T134" s="442"/>
      <c r="U134" s="442"/>
    </row>
    <row r="135" spans="10:21" ht="30">
      <c r="J135" s="440"/>
      <c r="K135" s="440"/>
      <c r="N135" s="441"/>
      <c r="O135" s="441"/>
      <c r="P135" s="442"/>
      <c r="Q135" s="442"/>
      <c r="R135" s="442"/>
      <c r="S135" s="442"/>
      <c r="T135" s="442"/>
      <c r="U135" s="442"/>
    </row>
    <row r="136" spans="10:21" ht="30">
      <c r="J136" s="440"/>
      <c r="K136" s="440"/>
      <c r="N136" s="441"/>
      <c r="O136" s="441"/>
      <c r="P136" s="442"/>
      <c r="Q136" s="442"/>
      <c r="R136" s="442"/>
      <c r="S136" s="442"/>
      <c r="T136" s="442"/>
      <c r="U136" s="442"/>
    </row>
    <row r="137" spans="10:21" ht="30">
      <c r="J137" s="440"/>
      <c r="K137" s="440"/>
      <c r="N137" s="441"/>
      <c r="O137" s="441"/>
      <c r="P137" s="442"/>
      <c r="Q137" s="442"/>
      <c r="R137" s="442"/>
      <c r="S137" s="442"/>
      <c r="T137" s="442"/>
      <c r="U137" s="442"/>
    </row>
    <row r="138" spans="10:21" ht="30">
      <c r="J138" s="440"/>
      <c r="K138" s="440"/>
      <c r="N138" s="441"/>
      <c r="O138" s="441"/>
      <c r="P138" s="442"/>
      <c r="Q138" s="442"/>
      <c r="R138" s="442"/>
      <c r="S138" s="442"/>
      <c r="T138" s="442"/>
      <c r="U138" s="442"/>
    </row>
    <row r="139" spans="10:21" ht="30">
      <c r="J139" s="440"/>
      <c r="K139" s="440"/>
      <c r="N139" s="441"/>
      <c r="O139" s="441"/>
      <c r="P139" s="442"/>
      <c r="Q139" s="442"/>
      <c r="R139" s="442"/>
      <c r="S139" s="442"/>
      <c r="T139" s="442"/>
      <c r="U139" s="442"/>
    </row>
    <row r="140" spans="10:21" ht="30">
      <c r="J140" s="440"/>
      <c r="K140" s="440"/>
      <c r="N140" s="441"/>
      <c r="O140" s="441"/>
      <c r="P140" s="442"/>
      <c r="Q140" s="442"/>
      <c r="R140" s="442"/>
      <c r="S140" s="442"/>
      <c r="T140" s="442"/>
      <c r="U140" s="442"/>
    </row>
    <row r="141" spans="10:21" ht="30">
      <c r="J141" s="440"/>
      <c r="K141" s="440"/>
      <c r="N141" s="441"/>
      <c r="O141" s="441"/>
      <c r="P141" s="442"/>
      <c r="Q141" s="442"/>
      <c r="R141" s="442"/>
      <c r="S141" s="442"/>
      <c r="T141" s="442"/>
      <c r="U141" s="442"/>
    </row>
    <row r="142" spans="10:21" ht="30">
      <c r="J142" s="440"/>
      <c r="K142" s="440"/>
      <c r="N142" s="441"/>
      <c r="O142" s="441"/>
      <c r="P142" s="442"/>
      <c r="Q142" s="442"/>
      <c r="R142" s="442"/>
      <c r="S142" s="442"/>
      <c r="T142" s="442"/>
      <c r="U142" s="442"/>
    </row>
    <row r="143" spans="10:21" ht="30">
      <c r="J143" s="440"/>
      <c r="K143" s="440"/>
      <c r="N143" s="441"/>
      <c r="O143" s="441"/>
      <c r="P143" s="442"/>
      <c r="Q143" s="442"/>
      <c r="R143" s="442"/>
      <c r="S143" s="442"/>
      <c r="T143" s="442"/>
      <c r="U143" s="442"/>
    </row>
    <row r="144" spans="10:21" ht="30">
      <c r="J144" s="440"/>
      <c r="K144" s="440"/>
      <c r="N144" s="441"/>
      <c r="O144" s="441"/>
      <c r="P144" s="442"/>
      <c r="Q144" s="442"/>
      <c r="R144" s="442"/>
      <c r="S144" s="442"/>
      <c r="T144" s="442"/>
      <c r="U144" s="442"/>
    </row>
    <row r="145" spans="10:21" ht="30">
      <c r="J145" s="440"/>
      <c r="K145" s="440"/>
      <c r="N145" s="441"/>
      <c r="O145" s="441"/>
      <c r="P145" s="442"/>
      <c r="Q145" s="442"/>
      <c r="R145" s="442"/>
      <c r="S145" s="442"/>
      <c r="T145" s="442"/>
      <c r="U145" s="442"/>
    </row>
    <row r="146" spans="10:21" ht="30">
      <c r="J146" s="440"/>
      <c r="K146" s="440"/>
      <c r="N146" s="441"/>
      <c r="O146" s="441"/>
      <c r="P146" s="442"/>
      <c r="Q146" s="442"/>
      <c r="R146" s="442"/>
      <c r="S146" s="442"/>
      <c r="T146" s="442"/>
      <c r="U146" s="442"/>
    </row>
    <row r="147" spans="10:21" ht="30">
      <c r="J147" s="440"/>
      <c r="K147" s="440"/>
      <c r="N147" s="441"/>
      <c r="O147" s="441"/>
      <c r="P147" s="442"/>
      <c r="Q147" s="442"/>
      <c r="R147" s="442"/>
      <c r="S147" s="442"/>
      <c r="T147" s="442"/>
      <c r="U147" s="442"/>
    </row>
    <row r="148" spans="10:21" ht="30">
      <c r="J148" s="440"/>
      <c r="K148" s="440"/>
      <c r="N148" s="441"/>
      <c r="O148" s="441"/>
      <c r="P148" s="442"/>
      <c r="Q148" s="442"/>
      <c r="R148" s="442"/>
      <c r="S148" s="442"/>
      <c r="T148" s="442"/>
      <c r="U148" s="442"/>
    </row>
    <row r="149" spans="10:21" ht="30">
      <c r="J149" s="440"/>
      <c r="K149" s="440"/>
      <c r="N149" s="441"/>
      <c r="O149" s="441"/>
      <c r="P149" s="442"/>
      <c r="Q149" s="442"/>
      <c r="R149" s="442"/>
      <c r="S149" s="442"/>
      <c r="T149" s="442"/>
      <c r="U149" s="442"/>
    </row>
    <row r="150" spans="10:21" ht="30">
      <c r="J150" s="440"/>
      <c r="K150" s="440"/>
      <c r="N150" s="441"/>
      <c r="O150" s="441"/>
      <c r="P150" s="442"/>
      <c r="Q150" s="442"/>
      <c r="R150" s="442"/>
      <c r="S150" s="442"/>
      <c r="T150" s="442"/>
      <c r="U150" s="442"/>
    </row>
    <row r="151" spans="10:21" ht="30">
      <c r="J151" s="440"/>
      <c r="K151" s="440"/>
      <c r="N151" s="441"/>
      <c r="O151" s="441"/>
      <c r="P151" s="442"/>
      <c r="Q151" s="442"/>
      <c r="R151" s="442"/>
      <c r="S151" s="442"/>
      <c r="T151" s="442"/>
      <c r="U151" s="442"/>
    </row>
    <row r="152" spans="10:21" ht="30">
      <c r="J152" s="440"/>
      <c r="K152" s="440"/>
      <c r="N152" s="441"/>
      <c r="O152" s="441"/>
      <c r="P152" s="442"/>
      <c r="Q152" s="442"/>
      <c r="R152" s="442"/>
      <c r="S152" s="442"/>
      <c r="T152" s="442"/>
      <c r="U152" s="442"/>
    </row>
    <row r="153" spans="10:21" ht="30">
      <c r="J153" s="440"/>
      <c r="K153" s="440"/>
      <c r="N153" s="441"/>
      <c r="O153" s="441"/>
      <c r="P153" s="442"/>
      <c r="Q153" s="442"/>
      <c r="R153" s="442"/>
      <c r="S153" s="442"/>
      <c r="T153" s="442"/>
      <c r="U153" s="442"/>
    </row>
    <row r="154" spans="10:21" ht="30">
      <c r="J154" s="440"/>
      <c r="K154" s="440"/>
      <c r="N154" s="441"/>
      <c r="O154" s="441"/>
      <c r="P154" s="442"/>
      <c r="Q154" s="442"/>
      <c r="R154" s="442"/>
      <c r="S154" s="442"/>
      <c r="T154" s="442"/>
      <c r="U154" s="442"/>
    </row>
    <row r="155" spans="10:21" ht="30">
      <c r="J155" s="440"/>
      <c r="K155" s="440"/>
      <c r="N155" s="441"/>
      <c r="O155" s="441"/>
      <c r="P155" s="442"/>
      <c r="Q155" s="442"/>
      <c r="R155" s="442"/>
      <c r="S155" s="442"/>
      <c r="T155" s="442"/>
      <c r="U155" s="442"/>
    </row>
    <row r="156" spans="10:21" ht="30">
      <c r="J156" s="440"/>
      <c r="K156" s="440"/>
      <c r="N156" s="441"/>
      <c r="O156" s="441"/>
      <c r="P156" s="442"/>
      <c r="Q156" s="442"/>
      <c r="R156" s="442"/>
      <c r="S156" s="442"/>
      <c r="T156" s="442"/>
      <c r="U156" s="442"/>
    </row>
    <row r="157" spans="10:21" ht="30">
      <c r="J157" s="440"/>
      <c r="K157" s="440"/>
      <c r="N157" s="441"/>
      <c r="O157" s="441"/>
      <c r="P157" s="442"/>
      <c r="Q157" s="442"/>
      <c r="R157" s="442"/>
      <c r="S157" s="442"/>
      <c r="T157" s="442"/>
      <c r="U157" s="442"/>
    </row>
    <row r="158" spans="10:21" ht="30">
      <c r="J158" s="440"/>
      <c r="K158" s="440"/>
      <c r="N158" s="441"/>
      <c r="O158" s="441"/>
      <c r="P158" s="442"/>
      <c r="Q158" s="442"/>
      <c r="R158" s="442"/>
      <c r="S158" s="442"/>
      <c r="T158" s="442"/>
      <c r="U158" s="442"/>
    </row>
    <row r="159" spans="10:21" ht="30">
      <c r="J159" s="440"/>
      <c r="K159" s="440"/>
      <c r="N159" s="441"/>
      <c r="O159" s="441"/>
      <c r="P159" s="442"/>
      <c r="Q159" s="442"/>
      <c r="R159" s="442"/>
      <c r="S159" s="442"/>
      <c r="T159" s="442"/>
      <c r="U159" s="442"/>
    </row>
    <row r="160" spans="10:21" ht="30">
      <c r="J160" s="440"/>
      <c r="K160" s="440"/>
      <c r="N160" s="441"/>
      <c r="O160" s="441"/>
      <c r="P160" s="442"/>
      <c r="Q160" s="442"/>
      <c r="R160" s="442"/>
      <c r="S160" s="442"/>
      <c r="T160" s="442"/>
      <c r="U160" s="442"/>
    </row>
    <row r="161" spans="10:21" ht="30">
      <c r="J161" s="440"/>
      <c r="K161" s="440"/>
      <c r="N161" s="441"/>
      <c r="O161" s="441"/>
      <c r="P161" s="442"/>
      <c r="Q161" s="442"/>
      <c r="R161" s="442"/>
      <c r="S161" s="442"/>
      <c r="T161" s="442"/>
      <c r="U161" s="442"/>
    </row>
    <row r="162" spans="10:21" ht="30">
      <c r="J162" s="440"/>
      <c r="K162" s="440"/>
      <c r="N162" s="441"/>
      <c r="O162" s="441"/>
      <c r="P162" s="442"/>
      <c r="Q162" s="442"/>
      <c r="R162" s="442"/>
      <c r="S162" s="442"/>
      <c r="T162" s="442"/>
      <c r="U162" s="442"/>
    </row>
    <row r="163" spans="10:21" ht="30">
      <c r="J163" s="440"/>
      <c r="K163" s="440"/>
      <c r="N163" s="441"/>
      <c r="O163" s="441"/>
      <c r="P163" s="442"/>
      <c r="Q163" s="442"/>
      <c r="R163" s="442"/>
      <c r="S163" s="442"/>
      <c r="T163" s="442"/>
      <c r="U163" s="442"/>
    </row>
    <row r="164" spans="10:21" ht="30">
      <c r="J164" s="440"/>
      <c r="K164" s="440"/>
      <c r="N164" s="441"/>
      <c r="O164" s="441"/>
      <c r="P164" s="442"/>
      <c r="Q164" s="442"/>
      <c r="R164" s="442"/>
      <c r="S164" s="442"/>
      <c r="T164" s="442"/>
      <c r="U164" s="442"/>
    </row>
    <row r="165" spans="10:21" ht="30">
      <c r="J165" s="440"/>
      <c r="K165" s="440"/>
      <c r="N165" s="441"/>
      <c r="O165" s="441"/>
      <c r="P165" s="442"/>
      <c r="Q165" s="442"/>
      <c r="R165" s="442"/>
      <c r="S165" s="442"/>
      <c r="T165" s="442"/>
      <c r="U165" s="442"/>
    </row>
    <row r="166" spans="10:21" ht="30">
      <c r="J166" s="440"/>
      <c r="K166" s="440"/>
      <c r="N166" s="441"/>
      <c r="O166" s="441"/>
      <c r="P166" s="442"/>
      <c r="Q166" s="442"/>
      <c r="R166" s="442"/>
      <c r="S166" s="442"/>
      <c r="T166" s="442"/>
      <c r="U166" s="442"/>
    </row>
    <row r="167" spans="10:21" ht="30">
      <c r="J167" s="440"/>
      <c r="K167" s="440"/>
      <c r="N167" s="441"/>
      <c r="O167" s="441"/>
      <c r="P167" s="442"/>
      <c r="Q167" s="442"/>
      <c r="R167" s="442"/>
      <c r="S167" s="442"/>
      <c r="T167" s="442"/>
      <c r="U167" s="442"/>
    </row>
    <row r="168" spans="10:21" ht="30">
      <c r="J168" s="440"/>
      <c r="K168" s="440"/>
      <c r="N168" s="441"/>
      <c r="O168" s="441"/>
      <c r="P168" s="442"/>
      <c r="Q168" s="442"/>
      <c r="R168" s="442"/>
      <c r="S168" s="442"/>
      <c r="T168" s="442"/>
      <c r="U168" s="442"/>
    </row>
    <row r="169" spans="10:21" ht="30">
      <c r="J169" s="440"/>
      <c r="K169" s="440"/>
      <c r="N169" s="441"/>
      <c r="O169" s="441"/>
      <c r="P169" s="442"/>
      <c r="Q169" s="442"/>
      <c r="R169" s="442"/>
      <c r="S169" s="442"/>
      <c r="T169" s="442"/>
      <c r="U169" s="442"/>
    </row>
    <row r="170" spans="14:21" ht="15">
      <c r="N170" s="441"/>
      <c r="O170" s="441"/>
      <c r="P170" s="442"/>
      <c r="Q170" s="442"/>
      <c r="R170" s="442"/>
      <c r="S170" s="442"/>
      <c r="T170" s="442"/>
      <c r="U170" s="442"/>
    </row>
    <row r="171" spans="14:21" ht="15">
      <c r="N171" s="441"/>
      <c r="O171" s="441"/>
      <c r="P171" s="442"/>
      <c r="Q171" s="442"/>
      <c r="R171" s="442"/>
      <c r="S171" s="442"/>
      <c r="T171" s="442"/>
      <c r="U171" s="442"/>
    </row>
    <row r="172" spans="14:21" ht="15">
      <c r="N172" s="441"/>
      <c r="O172" s="441"/>
      <c r="P172" s="442"/>
      <c r="Q172" s="442"/>
      <c r="R172" s="442"/>
      <c r="S172" s="442"/>
      <c r="T172" s="442"/>
      <c r="U172" s="442"/>
    </row>
    <row r="173" spans="14:21" ht="15">
      <c r="N173" s="441"/>
      <c r="O173" s="441"/>
      <c r="P173" s="442"/>
      <c r="Q173" s="442"/>
      <c r="R173" s="442"/>
      <c r="S173" s="442"/>
      <c r="T173" s="442"/>
      <c r="U173" s="442"/>
    </row>
    <row r="174" spans="14:21" ht="15">
      <c r="N174" s="441"/>
      <c r="O174" s="441"/>
      <c r="P174" s="442"/>
      <c r="Q174" s="442"/>
      <c r="R174" s="442"/>
      <c r="S174" s="442"/>
      <c r="T174" s="442"/>
      <c r="U174" s="442"/>
    </row>
    <row r="175" spans="14:21" ht="15">
      <c r="N175" s="441"/>
      <c r="O175" s="441"/>
      <c r="P175" s="442"/>
      <c r="Q175" s="442"/>
      <c r="R175" s="442"/>
      <c r="S175" s="442"/>
      <c r="T175" s="442"/>
      <c r="U175" s="442"/>
    </row>
    <row r="176" spans="14:21" ht="15">
      <c r="N176" s="441"/>
      <c r="O176" s="441"/>
      <c r="P176" s="442"/>
      <c r="Q176" s="442"/>
      <c r="R176" s="442"/>
      <c r="S176" s="442"/>
      <c r="T176" s="442"/>
      <c r="U176" s="442"/>
    </row>
    <row r="177" spans="14:21" ht="15">
      <c r="N177" s="441"/>
      <c r="O177" s="441"/>
      <c r="P177" s="442"/>
      <c r="Q177" s="442"/>
      <c r="R177" s="442"/>
      <c r="S177" s="442"/>
      <c r="T177" s="442"/>
      <c r="U177" s="442"/>
    </row>
    <row r="178" spans="14:21" ht="15">
      <c r="N178" s="441"/>
      <c r="O178" s="441"/>
      <c r="P178" s="442"/>
      <c r="Q178" s="442"/>
      <c r="R178" s="442"/>
      <c r="S178" s="442"/>
      <c r="T178" s="442"/>
      <c r="U178" s="442"/>
    </row>
    <row r="179" spans="14:21" ht="15">
      <c r="N179" s="441"/>
      <c r="O179" s="441"/>
      <c r="P179" s="442"/>
      <c r="Q179" s="442"/>
      <c r="R179" s="442"/>
      <c r="S179" s="442"/>
      <c r="T179" s="442"/>
      <c r="U179" s="442"/>
    </row>
    <row r="180" spans="14:21" ht="15">
      <c r="N180" s="441"/>
      <c r="O180" s="441"/>
      <c r="P180" s="442"/>
      <c r="Q180" s="442"/>
      <c r="R180" s="442"/>
      <c r="S180" s="442"/>
      <c r="T180" s="442"/>
      <c r="U180" s="442"/>
    </row>
    <row r="181" spans="14:21" ht="15">
      <c r="N181" s="441"/>
      <c r="O181" s="441"/>
      <c r="P181" s="442"/>
      <c r="Q181" s="442"/>
      <c r="R181" s="442"/>
      <c r="S181" s="442"/>
      <c r="T181" s="442"/>
      <c r="U181" s="442"/>
    </row>
    <row r="182" spans="14:21" ht="15">
      <c r="N182" s="441"/>
      <c r="O182" s="441"/>
      <c r="P182" s="442"/>
      <c r="Q182" s="442"/>
      <c r="R182" s="442"/>
      <c r="S182" s="442"/>
      <c r="T182" s="442"/>
      <c r="U182" s="442"/>
    </row>
    <row r="183" spans="14:21" ht="15">
      <c r="N183" s="441"/>
      <c r="O183" s="441"/>
      <c r="P183" s="442"/>
      <c r="Q183" s="442"/>
      <c r="R183" s="442"/>
      <c r="S183" s="442"/>
      <c r="T183" s="442"/>
      <c r="U183" s="442"/>
    </row>
    <row r="184" spans="14:21" ht="15">
      <c r="N184" s="441"/>
      <c r="O184" s="441"/>
      <c r="P184" s="442"/>
      <c r="Q184" s="442"/>
      <c r="R184" s="442"/>
      <c r="S184" s="442"/>
      <c r="T184" s="442"/>
      <c r="U184" s="442"/>
    </row>
    <row r="185" spans="14:21" ht="15">
      <c r="N185" s="441"/>
      <c r="O185" s="441"/>
      <c r="P185" s="442"/>
      <c r="Q185" s="442"/>
      <c r="R185" s="442"/>
      <c r="S185" s="442"/>
      <c r="T185" s="442"/>
      <c r="U185" s="442"/>
    </row>
    <row r="186" spans="14:21" ht="15">
      <c r="N186" s="441"/>
      <c r="O186" s="441"/>
      <c r="P186" s="442"/>
      <c r="Q186" s="442"/>
      <c r="R186" s="442"/>
      <c r="S186" s="442"/>
      <c r="T186" s="442"/>
      <c r="U186" s="442"/>
    </row>
    <row r="187" spans="14:21" ht="15">
      <c r="N187" s="441"/>
      <c r="O187" s="441"/>
      <c r="P187" s="442"/>
      <c r="Q187" s="442"/>
      <c r="R187" s="442"/>
      <c r="S187" s="442"/>
      <c r="T187" s="442"/>
      <c r="U187" s="442"/>
    </row>
    <row r="188" spans="14:21" ht="15">
      <c r="N188" s="441"/>
      <c r="O188" s="441"/>
      <c r="P188" s="442"/>
      <c r="Q188" s="442"/>
      <c r="R188" s="442"/>
      <c r="S188" s="442"/>
      <c r="T188" s="442"/>
      <c r="U188" s="442"/>
    </row>
    <row r="189" spans="14:21" ht="15">
      <c r="N189" s="441"/>
      <c r="O189" s="441"/>
      <c r="P189" s="442"/>
      <c r="Q189" s="442"/>
      <c r="R189" s="442"/>
      <c r="S189" s="442"/>
      <c r="T189" s="442"/>
      <c r="U189" s="442"/>
    </row>
    <row r="190" spans="14:21" ht="15">
      <c r="N190" s="441"/>
      <c r="O190" s="441"/>
      <c r="P190" s="442"/>
      <c r="Q190" s="442"/>
      <c r="R190" s="442"/>
      <c r="S190" s="442"/>
      <c r="T190" s="442"/>
      <c r="U190" s="442"/>
    </row>
    <row r="191" spans="14:21" ht="15">
      <c r="N191" s="441"/>
      <c r="O191" s="441"/>
      <c r="P191" s="442"/>
      <c r="Q191" s="442"/>
      <c r="R191" s="442"/>
      <c r="S191" s="442"/>
      <c r="T191" s="442"/>
      <c r="U191" s="442"/>
    </row>
    <row r="192" spans="14:21" ht="15">
      <c r="N192" s="441"/>
      <c r="O192" s="441"/>
      <c r="P192" s="442"/>
      <c r="Q192" s="442"/>
      <c r="R192" s="442"/>
      <c r="S192" s="442"/>
      <c r="T192" s="442"/>
      <c r="U192" s="442"/>
    </row>
    <row r="193" spans="14:21" ht="15">
      <c r="N193" s="441"/>
      <c r="O193" s="441"/>
      <c r="P193" s="442"/>
      <c r="Q193" s="442"/>
      <c r="R193" s="442"/>
      <c r="S193" s="442"/>
      <c r="T193" s="442"/>
      <c r="U193" s="442"/>
    </row>
    <row r="194" spans="14:21" ht="15">
      <c r="N194" s="441"/>
      <c r="O194" s="441"/>
      <c r="P194" s="442"/>
      <c r="Q194" s="442"/>
      <c r="R194" s="442"/>
      <c r="S194" s="442"/>
      <c r="T194" s="442"/>
      <c r="U194" s="442"/>
    </row>
    <row r="195" spans="14:21" ht="15">
      <c r="N195" s="441"/>
      <c r="O195" s="441"/>
      <c r="P195" s="442"/>
      <c r="Q195" s="442"/>
      <c r="R195" s="442"/>
      <c r="S195" s="442"/>
      <c r="T195" s="442"/>
      <c r="U195" s="442"/>
    </row>
    <row r="196" spans="14:21" ht="15">
      <c r="N196" s="441"/>
      <c r="O196" s="441"/>
      <c r="P196" s="442"/>
      <c r="Q196" s="442"/>
      <c r="R196" s="442"/>
      <c r="S196" s="442"/>
      <c r="T196" s="442"/>
      <c r="U196" s="442"/>
    </row>
    <row r="197" spans="14:21" ht="15">
      <c r="N197" s="441"/>
      <c r="O197" s="441"/>
      <c r="P197" s="442"/>
      <c r="Q197" s="442"/>
      <c r="R197" s="442"/>
      <c r="S197" s="442"/>
      <c r="T197" s="442"/>
      <c r="U197" s="442"/>
    </row>
    <row r="198" spans="14:21" ht="15">
      <c r="N198" s="441"/>
      <c r="O198" s="441"/>
      <c r="P198" s="442"/>
      <c r="Q198" s="442"/>
      <c r="R198" s="442"/>
      <c r="S198" s="442"/>
      <c r="T198" s="442"/>
      <c r="U198" s="442"/>
    </row>
    <row r="199" spans="14:21" ht="15">
      <c r="N199" s="441"/>
      <c r="O199" s="441"/>
      <c r="P199" s="442"/>
      <c r="Q199" s="442"/>
      <c r="R199" s="442"/>
      <c r="S199" s="442"/>
      <c r="T199" s="442"/>
      <c r="U199" s="442"/>
    </row>
    <row r="200" spans="14:21" ht="15">
      <c r="N200" s="441"/>
      <c r="O200" s="441"/>
      <c r="P200" s="442"/>
      <c r="Q200" s="442"/>
      <c r="R200" s="442"/>
      <c r="S200" s="442"/>
      <c r="T200" s="442"/>
      <c r="U200" s="442"/>
    </row>
    <row r="201" spans="14:21" ht="15">
      <c r="N201" s="441"/>
      <c r="O201" s="441"/>
      <c r="P201" s="442"/>
      <c r="Q201" s="442"/>
      <c r="R201" s="442"/>
      <c r="S201" s="442"/>
      <c r="T201" s="442"/>
      <c r="U201" s="442"/>
    </row>
    <row r="202" spans="14:21" ht="15">
      <c r="N202" s="441"/>
      <c r="O202" s="441"/>
      <c r="P202" s="442"/>
      <c r="Q202" s="442"/>
      <c r="R202" s="442"/>
      <c r="S202" s="442"/>
      <c r="T202" s="442"/>
      <c r="U202" s="442"/>
    </row>
    <row r="203" spans="14:21" ht="15">
      <c r="N203" s="441"/>
      <c r="O203" s="441"/>
      <c r="P203" s="442"/>
      <c r="Q203" s="442"/>
      <c r="R203" s="442"/>
      <c r="S203" s="442"/>
      <c r="T203" s="442"/>
      <c r="U203" s="442"/>
    </row>
    <row r="204" spans="14:21" ht="15">
      <c r="N204" s="441"/>
      <c r="O204" s="441"/>
      <c r="P204" s="442"/>
      <c r="Q204" s="442"/>
      <c r="R204" s="442"/>
      <c r="S204" s="442"/>
      <c r="T204" s="442"/>
      <c r="U204" s="442"/>
    </row>
    <row r="205" spans="14:21" ht="15">
      <c r="N205" s="441"/>
      <c r="O205" s="441"/>
      <c r="P205" s="442"/>
      <c r="Q205" s="442"/>
      <c r="R205" s="442"/>
      <c r="S205" s="442"/>
      <c r="T205" s="442"/>
      <c r="U205" s="442"/>
    </row>
    <row r="206" spans="14:21" ht="15">
      <c r="N206" s="441"/>
      <c r="O206" s="441"/>
      <c r="P206" s="442"/>
      <c r="Q206" s="442"/>
      <c r="R206" s="442"/>
      <c r="S206" s="442"/>
      <c r="T206" s="442"/>
      <c r="U206" s="442"/>
    </row>
    <row r="207" spans="14:21" ht="15">
      <c r="N207" s="441"/>
      <c r="O207" s="441"/>
      <c r="P207" s="442"/>
      <c r="Q207" s="442"/>
      <c r="R207" s="442"/>
      <c r="S207" s="442"/>
      <c r="T207" s="442"/>
      <c r="U207" s="442"/>
    </row>
    <row r="208" spans="14:21" ht="15">
      <c r="N208" s="441"/>
      <c r="O208" s="441"/>
      <c r="P208" s="442"/>
      <c r="Q208" s="442"/>
      <c r="R208" s="442"/>
      <c r="S208" s="442"/>
      <c r="T208" s="442"/>
      <c r="U208" s="442"/>
    </row>
    <row r="209" spans="14:21" ht="15">
      <c r="N209" s="441"/>
      <c r="O209" s="441"/>
      <c r="P209" s="442"/>
      <c r="Q209" s="442"/>
      <c r="R209" s="442"/>
      <c r="S209" s="442"/>
      <c r="T209" s="442"/>
      <c r="U209" s="442"/>
    </row>
    <row r="210" spans="14:21" ht="15">
      <c r="N210" s="441"/>
      <c r="O210" s="441"/>
      <c r="P210" s="442"/>
      <c r="Q210" s="442"/>
      <c r="R210" s="442"/>
      <c r="S210" s="442"/>
      <c r="T210" s="442"/>
      <c r="U210" s="442"/>
    </row>
  </sheetData>
  <mergeCells count="26">
    <mergeCell ref="H1:L1"/>
    <mergeCell ref="H2:H3"/>
    <mergeCell ref="C4:D4"/>
    <mergeCell ref="E4:H4"/>
    <mergeCell ref="C5:D5"/>
    <mergeCell ref="E5:H5"/>
    <mergeCell ref="I5:J5"/>
    <mergeCell ref="G6:J7"/>
    <mergeCell ref="K6:K7"/>
    <mergeCell ref="L6:L7"/>
    <mergeCell ref="P6:T6"/>
    <mergeCell ref="G12:J13"/>
    <mergeCell ref="K12:K13"/>
    <mergeCell ref="L12:L13"/>
    <mergeCell ref="K26:L26"/>
    <mergeCell ref="A27:L27"/>
    <mergeCell ref="A18:B19"/>
    <mergeCell ref="G18:J19"/>
    <mergeCell ref="K18:K19"/>
    <mergeCell ref="L18:L19"/>
    <mergeCell ref="A24:B26"/>
    <mergeCell ref="C24:D24"/>
    <mergeCell ref="K24:L24"/>
    <mergeCell ref="G25:I25"/>
    <mergeCell ref="K25:L25"/>
    <mergeCell ref="G26:I26"/>
  </mergeCells>
  <conditionalFormatting sqref="E4: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workbookViewId="0" topLeftCell="A1">
      <selection activeCell="F12" sqref="F12"/>
    </sheetView>
  </sheetViews>
  <sheetFormatPr defaultColWidth="9.140625" defaultRowHeight="15"/>
  <cols>
    <col min="1" max="1" width="11.7109375" style="46" customWidth="1"/>
    <col min="2" max="2" width="12.57421875" style="46" customWidth="1"/>
    <col min="3" max="3" width="11.28125" style="46" customWidth="1"/>
    <col min="4" max="4" width="3.57421875" style="11" customWidth="1"/>
    <col min="5" max="5" width="6.28125" style="11" customWidth="1"/>
    <col min="6" max="6" width="14.8515625" style="11" customWidth="1"/>
    <col min="7" max="7" width="12.28125" style="11" customWidth="1"/>
    <col min="8" max="8" width="9.140625" style="115" customWidth="1"/>
    <col min="9" max="9" width="15.57421875" style="46" customWidth="1"/>
    <col min="10" max="10" width="12.421875" style="46" customWidth="1"/>
    <col min="11" max="11" width="12.7109375" style="46" customWidth="1"/>
    <col min="12" max="16384" width="9.140625" style="11" customWidth="1"/>
  </cols>
  <sheetData>
    <row r="1" spans="1:12" ht="15">
      <c r="A1" s="1"/>
      <c r="B1" s="2"/>
      <c r="C1" s="1"/>
      <c r="D1" s="3" t="s">
        <v>17</v>
      </c>
      <c r="E1" s="4"/>
      <c r="F1" s="5"/>
      <c r="G1" s="6"/>
      <c r="H1" s="7"/>
      <c r="I1" s="8"/>
      <c r="J1" s="8"/>
      <c r="K1" s="9" t="s">
        <v>0</v>
      </c>
      <c r="L1" s="10"/>
    </row>
    <row r="2" spans="1:12" ht="18.75">
      <c r="A2" s="1"/>
      <c r="B2" s="2"/>
      <c r="C2" s="1"/>
      <c r="D2" s="554" t="s">
        <v>19</v>
      </c>
      <c r="E2" s="554"/>
      <c r="F2" s="12"/>
      <c r="G2" s="122" t="s">
        <v>30</v>
      </c>
      <c r="H2" s="13"/>
      <c r="I2" s="14"/>
      <c r="J2" s="8"/>
      <c r="K2" s="15"/>
      <c r="L2" s="16"/>
    </row>
    <row r="3" spans="1:12" ht="15">
      <c r="A3" s="1"/>
      <c r="B3" s="2"/>
      <c r="C3" s="1"/>
      <c r="D3" s="17" t="s">
        <v>1</v>
      </c>
      <c r="E3" s="17"/>
      <c r="F3" s="17"/>
      <c r="G3" s="18"/>
      <c r="H3" s="19"/>
      <c r="I3" s="20"/>
      <c r="J3" s="20"/>
      <c r="K3" s="20"/>
      <c r="L3" s="20"/>
    </row>
    <row r="4" spans="1:12" ht="13.5" thickBot="1">
      <c r="A4" s="21"/>
      <c r="B4" s="22"/>
      <c r="C4" s="21"/>
      <c r="D4" s="23" t="s">
        <v>18</v>
      </c>
      <c r="E4" s="23"/>
      <c r="F4" s="24"/>
      <c r="G4" s="25"/>
      <c r="H4" s="26"/>
      <c r="I4" s="27"/>
      <c r="J4" s="28"/>
      <c r="K4" s="29"/>
      <c r="L4" s="30"/>
    </row>
    <row r="5" spans="1:12" ht="15">
      <c r="A5" s="31"/>
      <c r="B5" s="32"/>
      <c r="C5" s="31"/>
      <c r="D5" s="31"/>
      <c r="E5" s="31"/>
      <c r="F5" s="33"/>
      <c r="G5" s="33"/>
      <c r="H5" s="34"/>
      <c r="I5" s="31"/>
      <c r="J5" s="31"/>
      <c r="K5" s="31"/>
      <c r="L5" s="31"/>
    </row>
    <row r="6" spans="1:12" ht="15">
      <c r="A6" s="35"/>
      <c r="B6" s="35"/>
      <c r="C6" s="35"/>
      <c r="D6" s="36">
        <v>1</v>
      </c>
      <c r="E6" s="37"/>
      <c r="F6" s="118" t="s">
        <v>20</v>
      </c>
      <c r="G6" s="37" t="s">
        <v>21</v>
      </c>
      <c r="H6" s="38"/>
      <c r="I6" s="1"/>
      <c r="J6" s="1"/>
      <c r="K6" s="1"/>
      <c r="L6" s="1"/>
    </row>
    <row r="7" spans="1:12" ht="15.75">
      <c r="A7" s="39"/>
      <c r="B7" s="40"/>
      <c r="C7" s="41"/>
      <c r="D7" s="42"/>
      <c r="E7" s="43"/>
      <c r="F7" s="44"/>
      <c r="G7" s="44"/>
      <c r="H7" s="45"/>
      <c r="I7" s="41" t="s">
        <v>20</v>
      </c>
      <c r="K7" s="47"/>
      <c r="L7" s="48"/>
    </row>
    <row r="8" spans="1:15" ht="15.75">
      <c r="A8" s="40"/>
      <c r="B8" s="49"/>
      <c r="C8" s="39"/>
      <c r="D8" s="50" t="s">
        <v>2</v>
      </c>
      <c r="E8" s="51"/>
      <c r="F8" s="52" t="s">
        <v>3</v>
      </c>
      <c r="G8" s="52"/>
      <c r="H8" s="53"/>
      <c r="I8" s="54"/>
      <c r="J8" s="55"/>
      <c r="K8" s="15"/>
      <c r="L8" s="56"/>
      <c r="M8" s="57"/>
      <c r="N8" s="57"/>
      <c r="O8" s="58"/>
    </row>
    <row r="9" spans="1:12" ht="15">
      <c r="A9" s="40"/>
      <c r="B9" s="41"/>
      <c r="C9" s="59"/>
      <c r="D9" s="60"/>
      <c r="E9" s="555"/>
      <c r="F9" s="555"/>
      <c r="G9" s="44"/>
      <c r="H9" s="13"/>
      <c r="I9" s="49"/>
      <c r="J9" s="41"/>
      <c r="K9" s="15"/>
      <c r="L9" s="61"/>
    </row>
    <row r="10" spans="1:12" ht="14.25" customHeight="1">
      <c r="A10" s="49"/>
      <c r="B10" s="62"/>
      <c r="C10" s="39"/>
      <c r="D10" s="63" t="s">
        <v>4</v>
      </c>
      <c r="E10" s="37"/>
      <c r="F10" s="37" t="s">
        <v>24</v>
      </c>
      <c r="G10" s="37" t="s">
        <v>25</v>
      </c>
      <c r="H10" s="38"/>
      <c r="I10" s="39"/>
      <c r="J10" s="64"/>
      <c r="K10" s="15"/>
      <c r="L10" s="61"/>
    </row>
    <row r="11" spans="1:12" ht="13.5" thickBot="1">
      <c r="A11" s="49"/>
      <c r="B11" s="65"/>
      <c r="C11" s="41"/>
      <c r="D11" s="42"/>
      <c r="E11" s="555"/>
      <c r="F11" s="555"/>
      <c r="G11" s="44"/>
      <c r="H11" s="45"/>
      <c r="I11" s="41"/>
      <c r="J11" s="66"/>
      <c r="K11" s="15"/>
      <c r="L11" s="61"/>
    </row>
    <row r="12" spans="1:12" ht="15">
      <c r="A12" s="121"/>
      <c r="B12" s="40"/>
      <c r="C12" s="62"/>
      <c r="D12" s="50" t="s">
        <v>5</v>
      </c>
      <c r="E12" s="37"/>
      <c r="F12" s="37" t="s">
        <v>26</v>
      </c>
      <c r="G12" s="37" t="s">
        <v>27</v>
      </c>
      <c r="H12" s="38"/>
      <c r="I12" s="67"/>
      <c r="J12" s="79"/>
      <c r="K12" s="119"/>
      <c r="L12" s="61"/>
    </row>
    <row r="13" spans="1:12" ht="13.5" thickBot="1">
      <c r="A13" s="120"/>
      <c r="B13" s="40"/>
      <c r="C13" s="39"/>
      <c r="D13" s="60"/>
      <c r="E13" s="16"/>
      <c r="F13" s="16"/>
      <c r="G13" s="16"/>
      <c r="H13" s="13"/>
      <c r="I13" s="69"/>
      <c r="J13" s="79"/>
      <c r="K13" s="120"/>
      <c r="L13" s="61"/>
    </row>
    <row r="14" spans="1:12" ht="15">
      <c r="A14" s="70"/>
      <c r="B14" s="40"/>
      <c r="C14" s="39"/>
      <c r="D14" s="63" t="s">
        <v>6</v>
      </c>
      <c r="E14" s="37"/>
      <c r="F14" s="37" t="s">
        <v>28</v>
      </c>
      <c r="G14" s="37" t="s">
        <v>29</v>
      </c>
      <c r="H14" s="38"/>
      <c r="I14" s="69"/>
      <c r="J14" s="68"/>
      <c r="K14" s="116"/>
      <c r="L14" s="61"/>
    </row>
    <row r="15" spans="1:12" ht="15">
      <c r="A15" s="49"/>
      <c r="B15" s="40"/>
      <c r="C15" s="41"/>
      <c r="D15" s="42"/>
      <c r="E15" s="16"/>
      <c r="F15" s="16"/>
      <c r="G15" s="16"/>
      <c r="H15" s="45"/>
      <c r="I15" s="41" t="s">
        <v>28</v>
      </c>
      <c r="J15" s="68"/>
      <c r="K15" s="61"/>
      <c r="L15" s="61"/>
    </row>
    <row r="16" spans="1:12" ht="15">
      <c r="A16" s="49"/>
      <c r="B16" s="49"/>
      <c r="C16" s="39"/>
      <c r="D16" s="50" t="s">
        <v>7</v>
      </c>
      <c r="E16" s="37"/>
      <c r="F16" s="52" t="s">
        <v>3</v>
      </c>
      <c r="G16" s="37"/>
      <c r="H16" s="38"/>
      <c r="I16" s="71"/>
      <c r="J16" s="66"/>
      <c r="K16" s="61"/>
      <c r="L16" s="61"/>
    </row>
    <row r="17" spans="1:12" ht="15">
      <c r="A17" s="49"/>
      <c r="B17" s="41"/>
      <c r="C17" s="59"/>
      <c r="D17" s="60"/>
      <c r="E17" s="16"/>
      <c r="F17" s="16"/>
      <c r="G17" s="16"/>
      <c r="H17" s="13"/>
      <c r="I17" s="68"/>
      <c r="J17" s="41"/>
      <c r="K17" s="55"/>
      <c r="L17" s="61"/>
    </row>
    <row r="18" spans="1:12" ht="15">
      <c r="A18" s="40"/>
      <c r="B18" s="62"/>
      <c r="C18" s="39"/>
      <c r="D18" s="63" t="s">
        <v>8</v>
      </c>
      <c r="E18" s="37"/>
      <c r="F18" s="52" t="s">
        <v>3</v>
      </c>
      <c r="G18" s="37"/>
      <c r="H18" s="38"/>
      <c r="I18" s="69"/>
      <c r="J18" s="72"/>
      <c r="K18" s="61"/>
      <c r="L18" s="61"/>
    </row>
    <row r="19" spans="1:12" ht="15">
      <c r="A19" s="40"/>
      <c r="B19" s="49"/>
      <c r="C19" s="41"/>
      <c r="D19" s="42"/>
      <c r="E19" s="16"/>
      <c r="F19" s="16"/>
      <c r="G19" s="16"/>
      <c r="H19" s="45"/>
      <c r="I19" s="41" t="s">
        <v>22</v>
      </c>
      <c r="J19" s="72"/>
      <c r="K19" s="61"/>
      <c r="L19" s="44"/>
    </row>
    <row r="20" spans="1:12" ht="15">
      <c r="A20" s="40"/>
      <c r="B20" s="39"/>
      <c r="C20" s="39"/>
      <c r="D20" s="50" t="s">
        <v>9</v>
      </c>
      <c r="E20" s="37"/>
      <c r="F20" s="37" t="s">
        <v>22</v>
      </c>
      <c r="G20" s="37" t="s">
        <v>23</v>
      </c>
      <c r="H20" s="38"/>
      <c r="I20" s="67"/>
      <c r="J20" s="69"/>
      <c r="K20" s="61"/>
      <c r="L20" s="61"/>
    </row>
    <row r="21" spans="1:12" ht="15">
      <c r="A21" s="40"/>
      <c r="B21" s="40"/>
      <c r="C21" s="40"/>
      <c r="D21" s="44"/>
      <c r="E21" s="44"/>
      <c r="F21" s="44"/>
      <c r="G21" s="44"/>
      <c r="H21" s="80"/>
      <c r="I21" s="76"/>
      <c r="J21" s="549"/>
      <c r="K21" s="549"/>
      <c r="L21" s="549"/>
    </row>
    <row r="22" spans="1:12" ht="13.5" customHeight="1">
      <c r="A22" s="550"/>
      <c r="B22" s="81"/>
      <c r="C22" s="40"/>
      <c r="D22" s="82"/>
      <c r="E22" s="44"/>
      <c r="F22" s="82"/>
      <c r="G22" s="83"/>
      <c r="H22" s="84"/>
      <c r="I22" s="85"/>
      <c r="J22" s="551"/>
      <c r="K22" s="551"/>
      <c r="L22" s="551"/>
    </row>
    <row r="23" spans="1:12" ht="12.75" customHeight="1">
      <c r="A23" s="550"/>
      <c r="B23" s="81"/>
      <c r="C23" s="40"/>
      <c r="D23" s="86"/>
      <c r="E23" s="87"/>
      <c r="F23" s="87"/>
      <c r="G23" s="88"/>
      <c r="H23" s="89"/>
      <c r="I23" s="85"/>
      <c r="J23" s="551"/>
      <c r="K23" s="551"/>
      <c r="L23" s="551"/>
    </row>
    <row r="24" spans="1:12" ht="13.5" customHeight="1">
      <c r="A24" s="81"/>
      <c r="B24" s="81"/>
      <c r="C24" s="40"/>
      <c r="D24" s="90"/>
      <c r="E24" s="90"/>
      <c r="F24" s="90"/>
      <c r="G24" s="76"/>
      <c r="H24" s="91"/>
      <c r="I24" s="76"/>
      <c r="J24" s="92"/>
      <c r="K24" s="92"/>
      <c r="L24" s="93"/>
    </row>
    <row r="25" spans="1:12" ht="15">
      <c r="A25" s="40"/>
      <c r="B25" s="40"/>
      <c r="C25" s="40"/>
      <c r="D25" s="94"/>
      <c r="E25" s="94"/>
      <c r="F25" s="95"/>
      <c r="G25" s="96"/>
      <c r="H25" s="97"/>
      <c r="I25" s="98"/>
      <c r="J25" s="99"/>
      <c r="K25" s="100"/>
      <c r="L25" s="100"/>
    </row>
    <row r="26" spans="1:12" ht="15">
      <c r="A26" s="40"/>
      <c r="B26" s="40"/>
      <c r="C26" s="40"/>
      <c r="D26" s="77"/>
      <c r="E26" s="74"/>
      <c r="F26" s="74"/>
      <c r="G26" s="74"/>
      <c r="H26" s="78"/>
      <c r="I26" s="61"/>
      <c r="J26" s="61"/>
      <c r="K26" s="61"/>
      <c r="L26" s="61"/>
    </row>
    <row r="27" spans="1:12" ht="15">
      <c r="A27" s="40"/>
      <c r="B27" s="40"/>
      <c r="C27" s="101"/>
      <c r="D27" s="77"/>
      <c r="E27" s="43"/>
      <c r="F27" s="44"/>
      <c r="G27" s="44"/>
      <c r="H27" s="89"/>
      <c r="I27" s="75"/>
      <c r="J27" s="61"/>
      <c r="K27" s="61"/>
      <c r="L27" s="61"/>
    </row>
    <row r="28" spans="1:12" ht="15">
      <c r="A28" s="40"/>
      <c r="B28" s="40"/>
      <c r="C28" s="40"/>
      <c r="D28" s="77"/>
      <c r="E28" s="102"/>
      <c r="F28" s="103"/>
      <c r="G28" s="102"/>
      <c r="H28" s="104"/>
      <c r="I28" s="40"/>
      <c r="J28" s="61"/>
      <c r="K28" s="61"/>
      <c r="L28" s="61"/>
    </row>
    <row r="29" spans="1:12" ht="15">
      <c r="A29" s="40"/>
      <c r="B29" s="75"/>
      <c r="C29" s="40"/>
      <c r="D29" s="105"/>
      <c r="E29" s="44"/>
      <c r="F29" s="44"/>
      <c r="G29" s="44"/>
      <c r="H29" s="89"/>
      <c r="I29" s="40"/>
      <c r="J29" s="75"/>
      <c r="K29" s="61"/>
      <c r="L29" s="61"/>
    </row>
    <row r="30" spans="1:12" ht="15">
      <c r="A30" s="40"/>
      <c r="B30" s="40"/>
      <c r="C30" s="40"/>
      <c r="D30" s="77"/>
      <c r="E30" s="74"/>
      <c r="F30" s="74"/>
      <c r="G30" s="74"/>
      <c r="H30" s="78"/>
      <c r="I30" s="40"/>
      <c r="J30" s="61"/>
      <c r="K30" s="61"/>
      <c r="L30" s="61"/>
    </row>
    <row r="31" spans="1:12" ht="15">
      <c r="A31" s="40"/>
      <c r="B31" s="40"/>
      <c r="C31" s="75"/>
      <c r="D31" s="77"/>
      <c r="E31" s="44"/>
      <c r="F31" s="43"/>
      <c r="G31" s="44"/>
      <c r="H31" s="89"/>
      <c r="I31" s="75"/>
      <c r="J31" s="61"/>
      <c r="K31" s="61"/>
      <c r="L31" s="61"/>
    </row>
    <row r="32" spans="1:12" ht="15">
      <c r="A32" s="40"/>
      <c r="B32" s="40"/>
      <c r="C32" s="40"/>
      <c r="D32" s="77"/>
      <c r="E32" s="74"/>
      <c r="F32" s="74"/>
      <c r="G32" s="74"/>
      <c r="H32" s="78"/>
      <c r="I32" s="79"/>
      <c r="J32" s="61"/>
      <c r="K32" s="61"/>
      <c r="L32" s="61"/>
    </row>
    <row r="33" spans="1:12" ht="15">
      <c r="A33" s="75"/>
      <c r="B33" s="40"/>
      <c r="C33" s="40"/>
      <c r="D33" s="77"/>
      <c r="E33" s="44"/>
      <c r="F33" s="44"/>
      <c r="G33" s="44"/>
      <c r="H33" s="89"/>
      <c r="I33" s="79"/>
      <c r="J33" s="61"/>
      <c r="K33" s="75"/>
      <c r="L33" s="61"/>
    </row>
    <row r="34" spans="1:12" ht="15">
      <c r="A34" s="40"/>
      <c r="B34" s="40"/>
      <c r="C34" s="40"/>
      <c r="D34" s="77"/>
      <c r="E34" s="74"/>
      <c r="F34" s="74"/>
      <c r="G34" s="74"/>
      <c r="H34" s="78"/>
      <c r="I34" s="79"/>
      <c r="J34" s="61"/>
      <c r="K34" s="61"/>
      <c r="L34" s="61"/>
    </row>
    <row r="35" spans="1:12" ht="15">
      <c r="A35" s="40"/>
      <c r="B35" s="40"/>
      <c r="C35" s="75"/>
      <c r="D35" s="105"/>
      <c r="E35" s="44"/>
      <c r="F35" s="44"/>
      <c r="G35" s="44"/>
      <c r="H35" s="89"/>
      <c r="I35" s="75"/>
      <c r="J35" s="61"/>
      <c r="K35" s="61"/>
      <c r="L35" s="61"/>
    </row>
    <row r="36" spans="1:12" ht="15">
      <c r="A36" s="40"/>
      <c r="B36" s="40"/>
      <c r="C36" s="40"/>
      <c r="D36" s="77"/>
      <c r="E36" s="74"/>
      <c r="F36" s="74"/>
      <c r="G36" s="74"/>
      <c r="H36" s="78"/>
      <c r="I36" s="40"/>
      <c r="J36" s="61"/>
      <c r="K36" s="61"/>
      <c r="L36" s="61"/>
    </row>
    <row r="37" spans="1:12" ht="15">
      <c r="A37" s="40"/>
      <c r="B37" s="75"/>
      <c r="C37" s="40"/>
      <c r="D37" s="77"/>
      <c r="E37" s="44"/>
      <c r="F37" s="44"/>
      <c r="G37" s="44"/>
      <c r="H37" s="89"/>
      <c r="I37" s="40"/>
      <c r="J37" s="75"/>
      <c r="K37" s="61"/>
      <c r="L37" s="61"/>
    </row>
    <row r="38" spans="1:12" ht="12.75" customHeight="1">
      <c r="A38" s="40"/>
      <c r="B38" s="40"/>
      <c r="C38" s="40"/>
      <c r="D38" s="77"/>
      <c r="E38" s="74"/>
      <c r="F38" s="74"/>
      <c r="G38" s="74"/>
      <c r="H38" s="78"/>
      <c r="I38" s="40"/>
      <c r="J38" s="61"/>
      <c r="K38" s="61"/>
      <c r="L38" s="61"/>
    </row>
    <row r="39" spans="1:12" ht="15">
      <c r="A39" s="40"/>
      <c r="B39" s="40"/>
      <c r="C39" s="75"/>
      <c r="D39" s="77"/>
      <c r="E39" s="44"/>
      <c r="F39" s="44"/>
      <c r="G39" s="44"/>
      <c r="H39" s="89"/>
      <c r="I39" s="75"/>
      <c r="J39" s="61"/>
      <c r="K39" s="61"/>
      <c r="L39" s="61"/>
    </row>
    <row r="40" spans="1:12" ht="15">
      <c r="A40" s="40"/>
      <c r="B40" s="40"/>
      <c r="C40" s="40"/>
      <c r="D40" s="77"/>
      <c r="E40" s="74"/>
      <c r="F40" s="74"/>
      <c r="G40" s="74"/>
      <c r="H40" s="78"/>
      <c r="I40" s="40"/>
      <c r="J40" s="61"/>
      <c r="K40" s="61"/>
      <c r="L40" s="61"/>
    </row>
    <row r="41" spans="1:13" ht="15">
      <c r="A41" s="40"/>
      <c r="B41" s="40"/>
      <c r="C41" s="40"/>
      <c r="D41" s="77"/>
      <c r="E41" s="44"/>
      <c r="F41" s="44"/>
      <c r="G41" s="44"/>
      <c r="H41" s="89"/>
      <c r="I41" s="40"/>
      <c r="J41" s="61"/>
      <c r="K41" s="61"/>
      <c r="L41" s="74"/>
      <c r="M41" s="106"/>
    </row>
    <row r="42" spans="1:12" ht="15">
      <c r="A42" s="40"/>
      <c r="B42" s="40"/>
      <c r="C42" s="40"/>
      <c r="D42" s="77"/>
      <c r="E42" s="74"/>
      <c r="F42" s="74"/>
      <c r="G42" s="74"/>
      <c r="H42" s="78"/>
      <c r="I42" s="107"/>
      <c r="J42" s="61"/>
      <c r="K42" s="61"/>
      <c r="L42" s="61"/>
    </row>
    <row r="43" spans="1:12" ht="16.5" customHeight="1">
      <c r="A43" s="40"/>
      <c r="B43" s="40"/>
      <c r="C43" s="75"/>
      <c r="D43" s="77"/>
      <c r="E43" s="43"/>
      <c r="F43" s="44"/>
      <c r="G43" s="44"/>
      <c r="H43" s="89"/>
      <c r="I43" s="75"/>
      <c r="J43" s="61"/>
      <c r="K43" s="61"/>
      <c r="L43" s="61"/>
    </row>
    <row r="44" spans="1:12" ht="15">
      <c r="A44" s="40"/>
      <c r="B44" s="40"/>
      <c r="C44" s="40"/>
      <c r="D44" s="77"/>
      <c r="E44" s="102"/>
      <c r="F44" s="74"/>
      <c r="G44" s="74"/>
      <c r="H44" s="78"/>
      <c r="I44" s="79"/>
      <c r="J44" s="61"/>
      <c r="K44" s="61"/>
      <c r="L44" s="61"/>
    </row>
    <row r="45" spans="1:12" ht="15">
      <c r="A45" s="40"/>
      <c r="B45" s="75"/>
      <c r="C45" s="40"/>
      <c r="D45" s="77"/>
      <c r="E45" s="44"/>
      <c r="F45" s="44"/>
      <c r="G45" s="44"/>
      <c r="H45" s="89"/>
      <c r="I45" s="79"/>
      <c r="J45" s="75"/>
      <c r="K45" s="61"/>
      <c r="L45" s="61"/>
    </row>
    <row r="46" spans="1:12" ht="15">
      <c r="A46" s="40"/>
      <c r="B46" s="40"/>
      <c r="C46" s="40"/>
      <c r="D46" s="77"/>
      <c r="E46" s="74"/>
      <c r="F46" s="74"/>
      <c r="G46" s="74"/>
      <c r="H46" s="78"/>
      <c r="I46" s="79"/>
      <c r="J46" s="61"/>
      <c r="K46" s="61"/>
      <c r="L46" s="61"/>
    </row>
    <row r="47" spans="1:12" ht="15">
      <c r="A47" s="40"/>
      <c r="B47" s="40"/>
      <c r="C47" s="75"/>
      <c r="D47" s="77"/>
      <c r="E47" s="44"/>
      <c r="F47" s="44"/>
      <c r="G47" s="44"/>
      <c r="H47" s="89"/>
      <c r="I47" s="75"/>
      <c r="J47" s="61"/>
      <c r="K47" s="61"/>
      <c r="L47" s="61"/>
    </row>
    <row r="48" spans="1:12" ht="15">
      <c r="A48" s="40"/>
      <c r="B48" s="40"/>
      <c r="C48" s="40"/>
      <c r="D48" s="77"/>
      <c r="E48" s="74"/>
      <c r="F48" s="74"/>
      <c r="G48" s="74"/>
      <c r="H48" s="78"/>
      <c r="I48" s="79"/>
      <c r="J48" s="61"/>
      <c r="K48" s="61"/>
      <c r="L48" s="61"/>
    </row>
    <row r="49" spans="1:12" ht="15">
      <c r="A49" s="75"/>
      <c r="B49" s="40"/>
      <c r="C49" s="40"/>
      <c r="D49" s="77"/>
      <c r="E49" s="44"/>
      <c r="F49" s="44"/>
      <c r="G49" s="44"/>
      <c r="H49" s="89"/>
      <c r="I49" s="40"/>
      <c r="J49" s="61"/>
      <c r="K49" s="75"/>
      <c r="L49" s="61"/>
    </row>
    <row r="50" spans="1:12" ht="15">
      <c r="A50" s="40"/>
      <c r="B50" s="40"/>
      <c r="C50" s="40"/>
      <c r="D50" s="77"/>
      <c r="E50" s="102"/>
      <c r="F50" s="108"/>
      <c r="G50" s="108"/>
      <c r="H50" s="78"/>
      <c r="I50" s="40"/>
      <c r="J50" s="61"/>
      <c r="K50" s="61"/>
      <c r="L50" s="61"/>
    </row>
    <row r="51" spans="1:12" ht="15">
      <c r="A51" s="40"/>
      <c r="B51" s="40"/>
      <c r="C51" s="101"/>
      <c r="D51" s="77"/>
      <c r="E51" s="105"/>
      <c r="F51" s="44"/>
      <c r="G51" s="44"/>
      <c r="H51" s="89"/>
      <c r="I51" s="75"/>
      <c r="J51" s="61"/>
      <c r="K51" s="61"/>
      <c r="L51" s="61"/>
    </row>
    <row r="52" spans="1:12" ht="15">
      <c r="A52" s="40"/>
      <c r="B52" s="40"/>
      <c r="C52" s="40"/>
      <c r="D52" s="77"/>
      <c r="E52" s="74"/>
      <c r="F52" s="74"/>
      <c r="G52" s="74"/>
      <c r="H52" s="78"/>
      <c r="I52" s="40"/>
      <c r="J52" s="61"/>
      <c r="K52" s="61"/>
      <c r="L52" s="76"/>
    </row>
    <row r="53" spans="1:12" ht="15">
      <c r="A53" s="40"/>
      <c r="B53" s="101"/>
      <c r="C53" s="40"/>
      <c r="D53" s="77"/>
      <c r="E53" s="44"/>
      <c r="F53" s="44"/>
      <c r="G53" s="44"/>
      <c r="H53" s="89"/>
      <c r="I53" s="40"/>
      <c r="J53" s="75"/>
      <c r="K53" s="61"/>
      <c r="L53" s="76"/>
    </row>
    <row r="54" spans="1:12" ht="15">
      <c r="A54" s="40"/>
      <c r="B54" s="40"/>
      <c r="C54" s="40"/>
      <c r="D54" s="77"/>
      <c r="E54" s="102"/>
      <c r="F54" s="103"/>
      <c r="G54" s="102"/>
      <c r="H54" s="104"/>
      <c r="I54" s="40"/>
      <c r="J54" s="61"/>
      <c r="K54" s="61"/>
      <c r="L54" s="76"/>
    </row>
    <row r="55" spans="1:12" ht="15">
      <c r="A55" s="40"/>
      <c r="B55" s="40"/>
      <c r="C55" s="109"/>
      <c r="D55" s="77"/>
      <c r="E55" s="552"/>
      <c r="F55" s="553"/>
      <c r="G55" s="44"/>
      <c r="H55" s="89"/>
      <c r="I55" s="75"/>
      <c r="J55" s="61"/>
      <c r="K55" s="110"/>
      <c r="L55" s="111"/>
    </row>
    <row r="56" spans="1:12" ht="15">
      <c r="A56" s="40"/>
      <c r="B56" s="40"/>
      <c r="C56" s="40"/>
      <c r="D56" s="77"/>
      <c r="E56" s="74"/>
      <c r="F56" s="74"/>
      <c r="G56" s="74"/>
      <c r="H56" s="78"/>
      <c r="I56" s="40"/>
      <c r="J56" s="61"/>
      <c r="K56" s="110"/>
      <c r="L56" s="111"/>
    </row>
    <row r="57" spans="1:12" ht="15">
      <c r="A57" s="1"/>
      <c r="B57" s="2"/>
      <c r="C57" s="1"/>
      <c r="D57" s="112"/>
      <c r="E57" s="113"/>
      <c r="F57" s="113"/>
      <c r="G57" s="113"/>
      <c r="H57" s="114"/>
      <c r="I57" s="48"/>
      <c r="J57" s="48"/>
      <c r="K57" s="48"/>
      <c r="L57" s="48"/>
    </row>
    <row r="58" spans="1:12" ht="15">
      <c r="A58" s="1"/>
      <c r="B58" s="2"/>
      <c r="C58" s="1"/>
      <c r="D58" s="112"/>
      <c r="E58" s="113"/>
      <c r="F58" s="113"/>
      <c r="G58" s="113"/>
      <c r="H58" s="114"/>
      <c r="I58" s="48"/>
      <c r="J58" s="48"/>
      <c r="K58" s="48"/>
      <c r="L58" s="48"/>
    </row>
  </sheetData>
  <mergeCells count="7">
    <mergeCell ref="J21:L21"/>
    <mergeCell ref="A22:A23"/>
    <mergeCell ref="J22:L23"/>
    <mergeCell ref="E55:F55"/>
    <mergeCell ref="D2:E2"/>
    <mergeCell ref="E9:F9"/>
    <mergeCell ref="E11:F11"/>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58"/>
  <sheetViews>
    <sheetView workbookViewId="0" topLeftCell="A3">
      <selection activeCell="N34" sqref="N34"/>
    </sheetView>
  </sheetViews>
  <sheetFormatPr defaultColWidth="9.140625" defaultRowHeight="15"/>
  <cols>
    <col min="1" max="1" width="9.140625" style="11" customWidth="1"/>
    <col min="2" max="2" width="12.140625" style="11" customWidth="1"/>
    <col min="3" max="3" width="11.7109375" style="46" customWidth="1"/>
    <col min="4" max="4" width="12.57421875" style="46" customWidth="1"/>
    <col min="5" max="5" width="11.28125" style="46" customWidth="1"/>
    <col min="6" max="6" width="3.57421875" style="11" customWidth="1"/>
    <col min="7" max="7" width="6.28125" style="11" customWidth="1"/>
    <col min="8" max="8" width="14.8515625" style="11" customWidth="1"/>
    <col min="9" max="9" width="10.00390625" style="11" customWidth="1"/>
    <col min="10" max="10" width="9.140625" style="115" customWidth="1"/>
    <col min="11" max="11" width="15.57421875" style="46" customWidth="1"/>
    <col min="12" max="12" width="12.421875" style="46" customWidth="1"/>
    <col min="13" max="13" width="12.7109375" style="46" customWidth="1"/>
    <col min="14" max="14" width="11.8515625" style="11" customWidth="1"/>
    <col min="15" max="16384" width="9.140625" style="11" customWidth="1"/>
  </cols>
  <sheetData>
    <row r="1" spans="3:14" ht="15">
      <c r="C1" s="1"/>
      <c r="D1" s="2"/>
      <c r="E1" s="1"/>
      <c r="F1" s="3" t="s">
        <v>17</v>
      </c>
      <c r="G1" s="4"/>
      <c r="H1" s="5"/>
      <c r="I1" s="6"/>
      <c r="J1" s="7"/>
      <c r="K1" s="8"/>
      <c r="L1" s="8"/>
      <c r="M1" s="9" t="s">
        <v>0</v>
      </c>
      <c r="N1" s="10"/>
    </row>
    <row r="2" spans="3:14" ht="24" customHeight="1">
      <c r="C2" s="1"/>
      <c r="D2" s="2"/>
      <c r="E2" s="1"/>
      <c r="F2" s="554" t="s">
        <v>19</v>
      </c>
      <c r="G2" s="554"/>
      <c r="H2" s="12"/>
      <c r="I2" s="117" t="s">
        <v>32</v>
      </c>
      <c r="J2" s="13"/>
      <c r="K2" s="14"/>
      <c r="L2" s="8"/>
      <c r="M2" s="15"/>
      <c r="N2" s="16"/>
    </row>
    <row r="3" spans="3:14" ht="15">
      <c r="C3" s="1"/>
      <c r="D3" s="2"/>
      <c r="E3" s="1"/>
      <c r="F3" s="17" t="s">
        <v>1</v>
      </c>
      <c r="G3" s="17"/>
      <c r="H3" s="17"/>
      <c r="I3" s="18"/>
      <c r="J3" s="19"/>
      <c r="K3" s="20"/>
      <c r="L3" s="20"/>
      <c r="M3" s="20"/>
      <c r="N3" s="20"/>
    </row>
    <row r="4" spans="3:14" ht="13.5" thickBot="1">
      <c r="C4" s="21"/>
      <c r="D4" s="22"/>
      <c r="E4" s="21"/>
      <c r="F4" s="23" t="s">
        <v>18</v>
      </c>
      <c r="G4" s="23"/>
      <c r="H4" s="24"/>
      <c r="I4" s="25"/>
      <c r="J4" s="26"/>
      <c r="K4" s="27"/>
      <c r="L4" s="28"/>
      <c r="M4" s="29"/>
      <c r="N4" s="30"/>
    </row>
    <row r="5" spans="3:14" ht="15">
      <c r="C5" s="31"/>
      <c r="D5" s="32"/>
      <c r="E5" s="31"/>
      <c r="F5" s="31"/>
      <c r="G5" s="31"/>
      <c r="H5" s="33"/>
      <c r="I5" s="33"/>
      <c r="J5" s="34"/>
      <c r="K5" s="31"/>
      <c r="L5" s="31"/>
      <c r="M5" s="31"/>
      <c r="N5" s="31"/>
    </row>
    <row r="6" spans="3:14" ht="15">
      <c r="C6" s="35"/>
      <c r="D6" s="35"/>
      <c r="E6" s="35"/>
      <c r="F6" s="36">
        <v>1</v>
      </c>
      <c r="G6" s="37"/>
      <c r="H6" s="145" t="s">
        <v>43</v>
      </c>
      <c r="I6" s="145" t="s">
        <v>44</v>
      </c>
      <c r="J6" s="38"/>
      <c r="K6" s="1"/>
      <c r="L6" s="1"/>
      <c r="M6" s="1"/>
      <c r="N6" s="1"/>
    </row>
    <row r="7" spans="3:14" ht="15.75">
      <c r="C7" s="39"/>
      <c r="D7" s="40"/>
      <c r="E7" s="41"/>
      <c r="F7" s="42"/>
      <c r="G7" s="43"/>
      <c r="H7" s="44"/>
      <c r="I7" s="44"/>
      <c r="J7" s="45"/>
      <c r="K7" s="145" t="s">
        <v>43</v>
      </c>
      <c r="M7" s="47"/>
      <c r="N7" s="48"/>
    </row>
    <row r="8" spans="3:17" ht="15.75">
      <c r="C8" s="40"/>
      <c r="D8" s="49"/>
      <c r="E8" s="39"/>
      <c r="F8" s="50" t="s">
        <v>2</v>
      </c>
      <c r="G8" s="51"/>
      <c r="H8" s="52" t="s">
        <v>3</v>
      </c>
      <c r="I8" s="52"/>
      <c r="J8" s="53"/>
      <c r="K8" s="54"/>
      <c r="L8" s="55"/>
      <c r="M8" s="15"/>
      <c r="N8" s="56"/>
      <c r="O8" s="57"/>
      <c r="P8" s="57"/>
      <c r="Q8" s="58"/>
    </row>
    <row r="9" spans="3:14" ht="15">
      <c r="C9" s="40"/>
      <c r="D9" s="41"/>
      <c r="E9" s="59"/>
      <c r="F9" s="60"/>
      <c r="G9" s="555"/>
      <c r="H9" s="555"/>
      <c r="I9" s="44"/>
      <c r="J9" s="13"/>
      <c r="K9" s="49"/>
      <c r="L9" s="41"/>
      <c r="M9" s="15"/>
      <c r="N9" s="61"/>
    </row>
    <row r="10" spans="3:14" ht="15">
      <c r="C10" s="49"/>
      <c r="D10" s="62"/>
      <c r="E10" s="39"/>
      <c r="F10" s="63" t="s">
        <v>4</v>
      </c>
      <c r="G10" s="37"/>
      <c r="H10" s="37" t="s">
        <v>51</v>
      </c>
      <c r="I10" s="37" t="s">
        <v>52</v>
      </c>
      <c r="J10" s="38"/>
      <c r="K10" s="39"/>
      <c r="L10" s="64"/>
      <c r="M10" s="15"/>
      <c r="N10" s="61"/>
    </row>
    <row r="11" spans="3:14" ht="15">
      <c r="C11" s="49"/>
      <c r="D11" s="65"/>
      <c r="E11" s="41"/>
      <c r="F11" s="42"/>
      <c r="G11" s="555"/>
      <c r="H11" s="555"/>
      <c r="I11" s="44"/>
      <c r="J11" s="45"/>
      <c r="K11" s="41"/>
      <c r="L11" s="66"/>
      <c r="M11" s="15"/>
      <c r="N11" s="61"/>
    </row>
    <row r="12" spans="3:14" ht="15">
      <c r="C12" s="49"/>
      <c r="D12" s="40"/>
      <c r="E12" s="62"/>
      <c r="F12" s="50" t="s">
        <v>5</v>
      </c>
      <c r="G12" s="37"/>
      <c r="H12" s="52" t="s">
        <v>53</v>
      </c>
      <c r="I12" s="37" t="s">
        <v>54</v>
      </c>
      <c r="J12" s="38"/>
      <c r="K12" s="67"/>
      <c r="L12" s="79"/>
      <c r="M12" s="55"/>
      <c r="N12" s="61"/>
    </row>
    <row r="13" spans="3:14" ht="15">
      <c r="C13" s="124"/>
      <c r="D13" s="40"/>
      <c r="E13" s="39"/>
      <c r="F13" s="60"/>
      <c r="G13" s="16"/>
      <c r="H13" s="16"/>
      <c r="I13" s="16"/>
      <c r="J13" s="13"/>
      <c r="K13" s="69"/>
      <c r="L13" s="79"/>
      <c r="M13" s="123"/>
      <c r="N13" s="61"/>
    </row>
    <row r="14" spans="2:14" ht="15">
      <c r="B14" s="135"/>
      <c r="C14" s="70"/>
      <c r="D14" s="40"/>
      <c r="E14" s="39"/>
      <c r="F14" s="63" t="s">
        <v>6</v>
      </c>
      <c r="G14" s="37"/>
      <c r="H14" s="37" t="s">
        <v>55</v>
      </c>
      <c r="I14" s="37" t="s">
        <v>56</v>
      </c>
      <c r="J14" s="38"/>
      <c r="K14" s="69"/>
      <c r="L14" s="68"/>
      <c r="M14" s="116"/>
      <c r="N14" s="55"/>
    </row>
    <row r="15" spans="2:14" ht="15">
      <c r="B15" s="135"/>
      <c r="C15" s="49"/>
      <c r="D15" s="40"/>
      <c r="E15" s="41"/>
      <c r="F15" s="42"/>
      <c r="G15" s="16"/>
      <c r="H15" s="16"/>
      <c r="I15" s="16"/>
      <c r="J15" s="45"/>
      <c r="K15" s="37" t="s">
        <v>55</v>
      </c>
      <c r="L15" s="68"/>
      <c r="M15" s="61"/>
      <c r="N15" s="55"/>
    </row>
    <row r="16" spans="2:14" ht="15">
      <c r="B16" s="135"/>
      <c r="C16" s="49"/>
      <c r="D16" s="49"/>
      <c r="E16" s="39"/>
      <c r="F16" s="50" t="s">
        <v>7</v>
      </c>
      <c r="G16" s="37"/>
      <c r="H16" s="52" t="s">
        <v>3</v>
      </c>
      <c r="I16" s="37"/>
      <c r="J16" s="38"/>
      <c r="K16" s="71"/>
      <c r="L16" s="66"/>
      <c r="M16" s="61"/>
      <c r="N16" s="55"/>
    </row>
    <row r="17" spans="2:14" ht="15">
      <c r="B17" s="135"/>
      <c r="C17" s="49"/>
      <c r="D17" s="41"/>
      <c r="E17" s="59"/>
      <c r="F17" s="60"/>
      <c r="G17" s="16"/>
      <c r="H17" s="16"/>
      <c r="I17" s="16"/>
      <c r="J17" s="13"/>
      <c r="K17" s="68"/>
      <c r="L17" s="41"/>
      <c r="M17" s="55"/>
      <c r="N17" s="55"/>
    </row>
    <row r="18" spans="2:14" ht="15">
      <c r="B18" s="135"/>
      <c r="C18" s="40"/>
      <c r="D18" s="62"/>
      <c r="E18" s="39"/>
      <c r="F18" s="63" t="s">
        <v>8</v>
      </c>
      <c r="G18" s="37"/>
      <c r="H18" s="52" t="s">
        <v>3</v>
      </c>
      <c r="I18" s="37"/>
      <c r="J18" s="38"/>
      <c r="K18" s="69"/>
      <c r="L18" s="72"/>
      <c r="M18" s="61"/>
      <c r="N18" s="55"/>
    </row>
    <row r="19" spans="2:14" ht="15">
      <c r="B19" s="135"/>
      <c r="C19" s="40"/>
      <c r="D19" s="49"/>
      <c r="E19" s="41"/>
      <c r="F19" s="42"/>
      <c r="G19" s="16"/>
      <c r="H19" s="16"/>
      <c r="I19" s="16"/>
      <c r="J19" s="45"/>
      <c r="K19" s="145" t="s">
        <v>47</v>
      </c>
      <c r="L19" s="72"/>
      <c r="M19" s="61"/>
      <c r="N19" s="73"/>
    </row>
    <row r="20" spans="2:14" ht="13.5" thickBot="1">
      <c r="B20" s="135"/>
      <c r="C20" s="40"/>
      <c r="D20" s="39"/>
      <c r="E20" s="39"/>
      <c r="F20" s="50" t="s">
        <v>9</v>
      </c>
      <c r="G20" s="37"/>
      <c r="H20" s="145" t="s">
        <v>47</v>
      </c>
      <c r="I20" s="145" t="s">
        <v>48</v>
      </c>
      <c r="J20" s="38"/>
      <c r="K20" s="67"/>
      <c r="L20" s="69"/>
      <c r="M20" s="61"/>
      <c r="N20" s="55"/>
    </row>
    <row r="21" spans="2:14" ht="15">
      <c r="B21" s="143"/>
      <c r="C21" s="40"/>
      <c r="D21" s="40"/>
      <c r="E21" s="40"/>
      <c r="F21" s="44"/>
      <c r="G21" s="44"/>
      <c r="H21" s="44"/>
      <c r="I21" s="44"/>
      <c r="J21" s="80"/>
      <c r="K21" s="76"/>
      <c r="L21" s="136"/>
      <c r="M21" s="136"/>
      <c r="N21" s="141"/>
    </row>
    <row r="22" spans="2:14" ht="13.5" customHeight="1" thickBot="1">
      <c r="B22" s="144"/>
      <c r="C22" s="550"/>
      <c r="D22" s="81"/>
      <c r="E22" s="40"/>
      <c r="F22" s="36">
        <v>9</v>
      </c>
      <c r="G22" s="37"/>
      <c r="H22" s="145" t="s">
        <v>49</v>
      </c>
      <c r="I22" s="145" t="s">
        <v>50</v>
      </c>
      <c r="J22" s="38"/>
      <c r="K22" s="85"/>
      <c r="L22" s="137"/>
      <c r="M22" s="137"/>
      <c r="N22" s="142"/>
    </row>
    <row r="23" spans="2:14" ht="12.75" customHeight="1">
      <c r="B23" s="135"/>
      <c r="C23" s="550"/>
      <c r="D23" s="81"/>
      <c r="E23" s="126"/>
      <c r="F23" s="42"/>
      <c r="G23" s="43"/>
      <c r="H23" s="44"/>
      <c r="I23" s="44"/>
      <c r="J23" s="45"/>
      <c r="K23" s="145" t="s">
        <v>49</v>
      </c>
      <c r="L23" s="137"/>
      <c r="M23" s="137"/>
      <c r="N23" s="138"/>
    </row>
    <row r="24" spans="2:14" ht="13.5" customHeight="1">
      <c r="B24" s="135"/>
      <c r="C24" s="81"/>
      <c r="D24" s="127"/>
      <c r="E24" s="40"/>
      <c r="F24" s="50" t="s">
        <v>10</v>
      </c>
      <c r="G24" s="51"/>
      <c r="H24" s="52" t="s">
        <v>3</v>
      </c>
      <c r="I24" s="52"/>
      <c r="J24" s="53"/>
      <c r="K24" s="131"/>
      <c r="L24" s="128"/>
      <c r="M24" s="92"/>
      <c r="N24" s="139"/>
    </row>
    <row r="25" spans="2:14" ht="15">
      <c r="B25" s="135"/>
      <c r="C25" s="40"/>
      <c r="D25" s="126"/>
      <c r="E25" s="40"/>
      <c r="F25" s="60"/>
      <c r="G25" s="555"/>
      <c r="H25" s="555"/>
      <c r="I25" s="44"/>
      <c r="J25" s="13"/>
      <c r="K25" s="98"/>
      <c r="L25" s="129"/>
      <c r="M25" s="100"/>
      <c r="N25" s="140"/>
    </row>
    <row r="26" spans="2:14" ht="15">
      <c r="B26" s="135"/>
      <c r="C26" s="49"/>
      <c r="D26" s="49"/>
      <c r="E26" s="40"/>
      <c r="F26" s="63" t="s">
        <v>11</v>
      </c>
      <c r="G26" s="37"/>
      <c r="H26" s="37" t="s">
        <v>57</v>
      </c>
      <c r="I26" s="37" t="s">
        <v>58</v>
      </c>
      <c r="J26" s="38"/>
      <c r="K26" s="61"/>
      <c r="L26" s="55"/>
      <c r="M26" s="55"/>
      <c r="N26" s="55"/>
    </row>
    <row r="27" spans="2:14" ht="15">
      <c r="B27" s="135"/>
      <c r="C27" s="49"/>
      <c r="D27" s="49"/>
      <c r="E27" s="125"/>
      <c r="F27" s="42"/>
      <c r="G27" s="555"/>
      <c r="H27" s="555"/>
      <c r="I27" s="44"/>
      <c r="J27" s="45"/>
      <c r="K27" s="123"/>
      <c r="L27" s="55"/>
      <c r="M27" s="55"/>
      <c r="N27" s="55"/>
    </row>
    <row r="28" spans="2:14" ht="15">
      <c r="B28" s="135"/>
      <c r="C28" s="49"/>
      <c r="D28" s="40"/>
      <c r="E28" s="40"/>
      <c r="F28" s="50" t="s">
        <v>12</v>
      </c>
      <c r="G28" s="37"/>
      <c r="H28" s="37" t="s">
        <v>59</v>
      </c>
      <c r="I28" s="37" t="s">
        <v>60</v>
      </c>
      <c r="J28" s="38"/>
      <c r="K28" s="132"/>
      <c r="L28" s="61"/>
      <c r="M28" s="55"/>
      <c r="N28" s="55"/>
    </row>
    <row r="29" spans="2:14" ht="15">
      <c r="B29" s="135"/>
      <c r="C29" s="126"/>
      <c r="D29" s="75"/>
      <c r="E29" s="40"/>
      <c r="F29" s="60"/>
      <c r="G29" s="16"/>
      <c r="H29" s="16"/>
      <c r="I29" s="16"/>
      <c r="J29" s="13"/>
      <c r="K29" s="40"/>
      <c r="L29" s="75"/>
      <c r="M29" s="130"/>
      <c r="N29" s="55"/>
    </row>
    <row r="30" spans="3:14" ht="15">
      <c r="C30" s="49"/>
      <c r="D30" s="40"/>
      <c r="E30" s="40"/>
      <c r="F30" s="63" t="s">
        <v>13</v>
      </c>
      <c r="G30" s="37"/>
      <c r="H30" s="37" t="s">
        <v>61</v>
      </c>
      <c r="I30" s="37" t="s">
        <v>62</v>
      </c>
      <c r="J30" s="38"/>
      <c r="K30" s="40"/>
      <c r="L30" s="61"/>
      <c r="M30" s="55"/>
      <c r="N30" s="61"/>
    </row>
    <row r="31" spans="3:14" ht="15">
      <c r="C31" s="49"/>
      <c r="D31" s="40"/>
      <c r="E31" s="124"/>
      <c r="F31" s="42"/>
      <c r="G31" s="16"/>
      <c r="H31" s="16"/>
      <c r="I31" s="16"/>
      <c r="J31" s="45"/>
      <c r="K31" s="37" t="s">
        <v>61</v>
      </c>
      <c r="L31" s="61"/>
      <c r="M31" s="55"/>
      <c r="N31" s="61"/>
    </row>
    <row r="32" spans="3:14" ht="15">
      <c r="C32" s="49"/>
      <c r="D32" s="49"/>
      <c r="E32" s="40"/>
      <c r="F32" s="50" t="s">
        <v>14</v>
      </c>
      <c r="G32" s="37"/>
      <c r="H32" s="52" t="s">
        <v>3</v>
      </c>
      <c r="I32" s="37"/>
      <c r="J32" s="38"/>
      <c r="K32" s="71"/>
      <c r="L32" s="55"/>
      <c r="M32" s="55"/>
      <c r="N32" s="61"/>
    </row>
    <row r="33" spans="3:14" ht="15">
      <c r="C33" s="134"/>
      <c r="D33" s="126"/>
      <c r="E33" s="40"/>
      <c r="F33" s="60"/>
      <c r="G33" s="16"/>
      <c r="H33" s="16"/>
      <c r="I33" s="16"/>
      <c r="J33" s="13"/>
      <c r="K33" s="79"/>
      <c r="L33" s="130"/>
      <c r="M33" s="133"/>
      <c r="N33" s="61"/>
    </row>
    <row r="34" spans="3:14" ht="15">
      <c r="C34" s="40"/>
      <c r="D34" s="49"/>
      <c r="E34" s="40"/>
      <c r="F34" s="63" t="s">
        <v>15</v>
      </c>
      <c r="G34" s="37"/>
      <c r="H34" s="52" t="s">
        <v>3</v>
      </c>
      <c r="I34" s="37"/>
      <c r="J34" s="38"/>
      <c r="K34" s="79"/>
      <c r="L34" s="55"/>
      <c r="M34" s="61"/>
      <c r="N34" s="61"/>
    </row>
    <row r="35" spans="3:14" ht="15">
      <c r="C35" s="40"/>
      <c r="D35" s="49"/>
      <c r="E35" s="124"/>
      <c r="F35" s="42"/>
      <c r="G35" s="16"/>
      <c r="H35" s="16"/>
      <c r="I35" s="16"/>
      <c r="J35" s="45"/>
      <c r="K35" s="145" t="s">
        <v>45</v>
      </c>
      <c r="L35" s="55"/>
      <c r="M35" s="61"/>
      <c r="N35" s="61"/>
    </row>
    <row r="36" spans="3:14" ht="15">
      <c r="C36" s="40"/>
      <c r="D36" s="40"/>
      <c r="E36" s="40"/>
      <c r="F36" s="50" t="s">
        <v>16</v>
      </c>
      <c r="G36" s="37"/>
      <c r="H36" s="145" t="s">
        <v>45</v>
      </c>
      <c r="I36" s="145" t="s">
        <v>46</v>
      </c>
      <c r="J36" s="38"/>
      <c r="K36" s="132"/>
      <c r="L36" s="61"/>
      <c r="M36" s="61"/>
      <c r="N36" s="61"/>
    </row>
    <row r="37" spans="3:14" ht="15">
      <c r="C37" s="40"/>
      <c r="D37" s="75"/>
      <c r="E37" s="40"/>
      <c r="F37" s="77"/>
      <c r="G37" s="44"/>
      <c r="H37" s="44"/>
      <c r="I37" s="44"/>
      <c r="J37" s="89"/>
      <c r="K37" s="40"/>
      <c r="L37" s="75"/>
      <c r="M37" s="61"/>
      <c r="N37" s="61"/>
    </row>
    <row r="38" spans="3:14" ht="12.75" customHeight="1">
      <c r="C38" s="40"/>
      <c r="D38" s="40"/>
      <c r="E38" s="40"/>
      <c r="F38" s="77"/>
      <c r="G38" s="74"/>
      <c r="H38" s="74"/>
      <c r="I38" s="74"/>
      <c r="J38" s="78"/>
      <c r="K38" s="40"/>
      <c r="L38" s="61"/>
      <c r="M38" s="61"/>
      <c r="N38" s="61"/>
    </row>
    <row r="39" spans="3:14" ht="15">
      <c r="C39" s="40"/>
      <c r="D39" s="40"/>
      <c r="E39" s="75"/>
      <c r="F39" s="77"/>
      <c r="G39" s="44"/>
      <c r="H39" s="44"/>
      <c r="I39" s="44"/>
      <c r="J39" s="89"/>
      <c r="K39" s="75"/>
      <c r="L39" s="61"/>
      <c r="M39" s="61"/>
      <c r="N39" s="61"/>
    </row>
    <row r="40" spans="3:14" ht="15">
      <c r="C40" s="40"/>
      <c r="D40" s="40"/>
      <c r="E40" s="40"/>
      <c r="F40" s="77"/>
      <c r="G40" s="74"/>
      <c r="H40" s="74"/>
      <c r="I40" s="74"/>
      <c r="J40" s="78"/>
      <c r="K40" s="40"/>
      <c r="L40" s="61"/>
      <c r="M40" s="61"/>
      <c r="N40" s="61"/>
    </row>
    <row r="41" spans="3:15" ht="15">
      <c r="C41" s="40"/>
      <c r="D41" s="40"/>
      <c r="E41" s="40"/>
      <c r="F41" s="77"/>
      <c r="G41" s="44"/>
      <c r="H41" s="44"/>
      <c r="I41" s="44"/>
      <c r="J41" s="89"/>
      <c r="K41" s="40"/>
      <c r="L41" s="61"/>
      <c r="M41" s="61"/>
      <c r="N41" s="74"/>
      <c r="O41" s="106"/>
    </row>
    <row r="42" spans="3:14" ht="15">
      <c r="C42" s="40"/>
      <c r="D42" s="40"/>
      <c r="E42" s="40"/>
      <c r="F42" s="77"/>
      <c r="G42" s="74"/>
      <c r="H42" s="74"/>
      <c r="I42" s="74"/>
      <c r="J42" s="78"/>
      <c r="K42" s="107"/>
      <c r="L42" s="61"/>
      <c r="M42" s="61"/>
      <c r="N42" s="61"/>
    </row>
    <row r="43" spans="3:14" ht="16.5" customHeight="1">
      <c r="C43" s="40"/>
      <c r="D43" s="40"/>
      <c r="E43" s="75"/>
      <c r="F43" s="77"/>
      <c r="G43" s="43"/>
      <c r="H43" s="44"/>
      <c r="I43" s="44"/>
      <c r="J43" s="89"/>
      <c r="K43" s="75"/>
      <c r="L43" s="61"/>
      <c r="M43" s="61"/>
      <c r="N43" s="61"/>
    </row>
    <row r="44" spans="3:14" ht="15">
      <c r="C44" s="40"/>
      <c r="D44" s="40"/>
      <c r="E44" s="40"/>
      <c r="F44" s="77"/>
      <c r="G44" s="102"/>
      <c r="H44" s="74"/>
      <c r="I44" s="74"/>
      <c r="J44" s="78"/>
      <c r="K44" s="79"/>
      <c r="L44" s="61"/>
      <c r="M44" s="61"/>
      <c r="N44" s="61"/>
    </row>
    <row r="45" spans="3:14" ht="15">
      <c r="C45" s="40"/>
      <c r="D45" s="75"/>
      <c r="E45" s="40"/>
      <c r="F45" s="77"/>
      <c r="G45" s="44"/>
      <c r="H45" s="44"/>
      <c r="I45" s="44"/>
      <c r="J45" s="89"/>
      <c r="K45" s="79"/>
      <c r="L45" s="75"/>
      <c r="M45" s="61"/>
      <c r="N45" s="61"/>
    </row>
    <row r="46" spans="3:14" ht="15">
      <c r="C46" s="40"/>
      <c r="D46" s="40"/>
      <c r="E46" s="40"/>
      <c r="F46" s="77"/>
      <c r="G46" s="74"/>
      <c r="H46" s="74"/>
      <c r="I46" s="74"/>
      <c r="J46" s="78"/>
      <c r="K46" s="79"/>
      <c r="L46" s="61"/>
      <c r="M46" s="61"/>
      <c r="N46" s="61"/>
    </row>
    <row r="47" spans="3:14" ht="15">
      <c r="C47" s="40"/>
      <c r="D47" s="40"/>
      <c r="E47" s="75"/>
      <c r="F47" s="77"/>
      <c r="G47" s="44"/>
      <c r="H47" s="44"/>
      <c r="I47" s="44"/>
      <c r="J47" s="89"/>
      <c r="K47" s="75"/>
      <c r="L47" s="61"/>
      <c r="M47" s="61"/>
      <c r="N47" s="61"/>
    </row>
    <row r="48" spans="3:14" ht="15">
      <c r="C48" s="40"/>
      <c r="D48" s="40"/>
      <c r="E48" s="40"/>
      <c r="F48" s="77"/>
      <c r="G48" s="74"/>
      <c r="H48" s="74"/>
      <c r="I48" s="74"/>
      <c r="J48" s="78"/>
      <c r="K48" s="79"/>
      <c r="L48" s="61"/>
      <c r="M48" s="61"/>
      <c r="N48" s="61"/>
    </row>
    <row r="49" spans="3:14" ht="15">
      <c r="C49" s="75"/>
      <c r="D49" s="40"/>
      <c r="E49" s="40"/>
      <c r="F49" s="77"/>
      <c r="G49" s="44"/>
      <c r="H49" s="44"/>
      <c r="I49" s="44"/>
      <c r="J49" s="89"/>
      <c r="K49" s="40"/>
      <c r="L49" s="61"/>
      <c r="M49" s="75"/>
      <c r="N49" s="61"/>
    </row>
    <row r="50" spans="3:14" ht="15">
      <c r="C50" s="40"/>
      <c r="D50" s="40"/>
      <c r="E50" s="40"/>
      <c r="F50" s="77"/>
      <c r="G50" s="102"/>
      <c r="H50" s="108"/>
      <c r="I50" s="108"/>
      <c r="J50" s="78"/>
      <c r="K50" s="40"/>
      <c r="L50" s="61"/>
      <c r="M50" s="61"/>
      <c r="N50" s="61"/>
    </row>
    <row r="51" spans="3:14" ht="15">
      <c r="C51" s="40"/>
      <c r="D51" s="40"/>
      <c r="E51" s="101"/>
      <c r="F51" s="77"/>
      <c r="G51" s="105"/>
      <c r="H51" s="44"/>
      <c r="I51" s="44"/>
      <c r="J51" s="89"/>
      <c r="K51" s="75"/>
      <c r="L51" s="61"/>
      <c r="M51" s="61"/>
      <c r="N51" s="61"/>
    </row>
    <row r="52" spans="3:14" ht="15">
      <c r="C52" s="40"/>
      <c r="D52" s="40"/>
      <c r="E52" s="40"/>
      <c r="F52" s="77"/>
      <c r="G52" s="74"/>
      <c r="H52" s="74"/>
      <c r="I52" s="74"/>
      <c r="J52" s="78"/>
      <c r="K52" s="40"/>
      <c r="L52" s="61"/>
      <c r="M52" s="61"/>
      <c r="N52" s="76"/>
    </row>
    <row r="53" spans="3:14" ht="15">
      <c r="C53" s="40"/>
      <c r="D53" s="101"/>
      <c r="E53" s="40"/>
      <c r="F53" s="77"/>
      <c r="G53" s="44"/>
      <c r="H53" s="44"/>
      <c r="I53" s="44"/>
      <c r="J53" s="89"/>
      <c r="K53" s="40"/>
      <c r="L53" s="75"/>
      <c r="M53" s="61"/>
      <c r="N53" s="76"/>
    </row>
    <row r="54" spans="3:14" ht="15">
      <c r="C54" s="40"/>
      <c r="D54" s="40"/>
      <c r="E54" s="40"/>
      <c r="F54" s="77"/>
      <c r="G54" s="102"/>
      <c r="H54" s="103"/>
      <c r="I54" s="102"/>
      <c r="J54" s="104"/>
      <c r="K54" s="40"/>
      <c r="L54" s="61"/>
      <c r="M54" s="61"/>
      <c r="N54" s="76"/>
    </row>
    <row r="55" spans="3:14" ht="15">
      <c r="C55" s="40"/>
      <c r="D55" s="40"/>
      <c r="E55" s="109"/>
      <c r="F55" s="77"/>
      <c r="G55" s="552"/>
      <c r="H55" s="553"/>
      <c r="I55" s="44"/>
      <c r="J55" s="89"/>
      <c r="K55" s="75"/>
      <c r="L55" s="61"/>
      <c r="M55" s="110"/>
      <c r="N55" s="111"/>
    </row>
    <row r="56" spans="3:14" ht="15">
      <c r="C56" s="40"/>
      <c r="D56" s="40"/>
      <c r="E56" s="40"/>
      <c r="F56" s="77"/>
      <c r="G56" s="74"/>
      <c r="H56" s="74"/>
      <c r="I56" s="74"/>
      <c r="J56" s="78"/>
      <c r="K56" s="40"/>
      <c r="L56" s="61"/>
      <c r="M56" s="110"/>
      <c r="N56" s="111"/>
    </row>
    <row r="57" spans="3:14" ht="15">
      <c r="C57" s="1"/>
      <c r="D57" s="2"/>
      <c r="E57" s="1"/>
      <c r="F57" s="112"/>
      <c r="G57" s="113"/>
      <c r="H57" s="113"/>
      <c r="I57" s="113"/>
      <c r="J57" s="114"/>
      <c r="K57" s="48"/>
      <c r="L57" s="48"/>
      <c r="M57" s="48"/>
      <c r="N57" s="48"/>
    </row>
    <row r="58" spans="3:14" ht="15">
      <c r="C58" s="1"/>
      <c r="D58" s="2"/>
      <c r="E58" s="1"/>
      <c r="F58" s="112"/>
      <c r="G58" s="113"/>
      <c r="H58" s="113"/>
      <c r="I58" s="113"/>
      <c r="J58" s="114"/>
      <c r="K58" s="48"/>
      <c r="L58" s="48"/>
      <c r="M58" s="48"/>
      <c r="N58" s="48"/>
    </row>
  </sheetData>
  <mergeCells count="7">
    <mergeCell ref="C22:C23"/>
    <mergeCell ref="G55:H55"/>
    <mergeCell ref="G25:H25"/>
    <mergeCell ref="G27:H27"/>
    <mergeCell ref="F2:G2"/>
    <mergeCell ref="G9:H9"/>
    <mergeCell ref="G11:H11"/>
  </mergeCell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workbookViewId="0" topLeftCell="A1">
      <selection activeCell="K17" sqref="K17"/>
    </sheetView>
  </sheetViews>
  <sheetFormatPr defaultColWidth="9.140625" defaultRowHeight="15"/>
  <cols>
    <col min="1" max="1" width="11.7109375" style="46" customWidth="1"/>
    <col min="2" max="2" width="12.57421875" style="46" customWidth="1"/>
    <col min="3" max="3" width="11.28125" style="46" customWidth="1"/>
    <col min="4" max="4" width="3.57421875" style="11" customWidth="1"/>
    <col min="5" max="5" width="6.28125" style="11" customWidth="1"/>
    <col min="6" max="6" width="14.8515625" style="11" customWidth="1"/>
    <col min="7" max="7" width="10.00390625" style="11" customWidth="1"/>
    <col min="8" max="8" width="9.140625" style="115" customWidth="1"/>
    <col min="9" max="9" width="15.57421875" style="46" customWidth="1"/>
    <col min="10" max="10" width="12.421875" style="46" customWidth="1"/>
    <col min="11" max="11" width="12.7109375" style="46" customWidth="1"/>
    <col min="12" max="16384" width="9.140625" style="11" customWidth="1"/>
  </cols>
  <sheetData>
    <row r="1" spans="1:12" ht="15">
      <c r="A1" s="1"/>
      <c r="B1" s="2"/>
      <c r="C1" s="1"/>
      <c r="D1" s="3" t="s">
        <v>17</v>
      </c>
      <c r="E1" s="4"/>
      <c r="F1" s="5"/>
      <c r="G1" s="6"/>
      <c r="H1" s="7"/>
      <c r="I1" s="8"/>
      <c r="J1" s="8"/>
      <c r="K1" s="9" t="s">
        <v>0</v>
      </c>
      <c r="L1" s="10"/>
    </row>
    <row r="2" spans="1:12" ht="24" customHeight="1">
      <c r="A2" s="1"/>
      <c r="B2" s="2"/>
      <c r="C2" s="1"/>
      <c r="D2" s="554" t="s">
        <v>19</v>
      </c>
      <c r="E2" s="554"/>
      <c r="F2" s="12"/>
      <c r="G2" s="117" t="s">
        <v>31</v>
      </c>
      <c r="H2" s="13"/>
      <c r="I2" s="14"/>
      <c r="J2" s="8"/>
      <c r="K2" s="15"/>
      <c r="L2" s="16"/>
    </row>
    <row r="3" spans="1:12" ht="15">
      <c r="A3" s="1"/>
      <c r="B3" s="2"/>
      <c r="C3" s="1"/>
      <c r="D3" s="17" t="s">
        <v>1</v>
      </c>
      <c r="E3" s="17"/>
      <c r="F3" s="17"/>
      <c r="G3" s="18"/>
      <c r="H3" s="19"/>
      <c r="I3" s="20"/>
      <c r="J3" s="20"/>
      <c r="K3" s="20"/>
      <c r="L3" s="20"/>
    </row>
    <row r="4" spans="1:12" ht="13.5" thickBot="1">
      <c r="A4" s="21"/>
      <c r="B4" s="22"/>
      <c r="C4" s="21"/>
      <c r="D4" s="23" t="s">
        <v>18</v>
      </c>
      <c r="E4" s="23"/>
      <c r="F4" s="24"/>
      <c r="G4" s="25"/>
      <c r="H4" s="26"/>
      <c r="I4" s="27"/>
      <c r="J4" s="28"/>
      <c r="K4" s="29"/>
      <c r="L4" s="30"/>
    </row>
    <row r="5" spans="1:12" ht="15">
      <c r="A5" s="31"/>
      <c r="B5" s="32"/>
      <c r="C5" s="31"/>
      <c r="D5" s="31"/>
      <c r="E5" s="31"/>
      <c r="F5" s="33"/>
      <c r="G5" s="33"/>
      <c r="H5" s="34"/>
      <c r="I5" s="31"/>
      <c r="J5" s="31"/>
      <c r="K5" s="31"/>
      <c r="L5" s="31"/>
    </row>
    <row r="6" spans="1:12" ht="15">
      <c r="A6" s="35"/>
      <c r="B6" s="35"/>
      <c r="C6" s="35"/>
      <c r="D6" s="36">
        <v>1</v>
      </c>
      <c r="E6" s="37"/>
      <c r="F6" s="37" t="s">
        <v>33</v>
      </c>
      <c r="G6" s="37" t="s">
        <v>34</v>
      </c>
      <c r="H6" s="38"/>
      <c r="I6" s="1"/>
      <c r="J6" s="1"/>
      <c r="K6" s="1"/>
      <c r="L6" s="1"/>
    </row>
    <row r="7" spans="1:12" ht="15.75">
      <c r="A7" s="39"/>
      <c r="B7" s="40"/>
      <c r="C7" s="41"/>
      <c r="D7" s="42"/>
      <c r="E7" s="43"/>
      <c r="F7" s="44"/>
      <c r="G7" s="44"/>
      <c r="H7" s="45"/>
      <c r="I7" s="41" t="s">
        <v>33</v>
      </c>
      <c r="K7" s="47"/>
      <c r="L7" s="48"/>
    </row>
    <row r="8" spans="1:15" ht="15.75">
      <c r="A8" s="40"/>
      <c r="B8" s="49"/>
      <c r="C8" s="39"/>
      <c r="D8" s="50" t="s">
        <v>2</v>
      </c>
      <c r="E8" s="51"/>
      <c r="F8" s="52" t="s">
        <v>3</v>
      </c>
      <c r="G8" s="52"/>
      <c r="H8" s="53"/>
      <c r="I8" s="54"/>
      <c r="J8" s="55"/>
      <c r="K8" s="15"/>
      <c r="L8" s="56"/>
      <c r="M8" s="57"/>
      <c r="N8" s="57"/>
      <c r="O8" s="58"/>
    </row>
    <row r="9" spans="1:12" ht="15">
      <c r="A9" s="40"/>
      <c r="B9" s="41"/>
      <c r="C9" s="59"/>
      <c r="D9" s="60"/>
      <c r="E9" s="555"/>
      <c r="F9" s="555"/>
      <c r="G9" s="44"/>
      <c r="H9" s="13"/>
      <c r="I9" s="49"/>
      <c r="J9" s="41"/>
      <c r="K9" s="15"/>
      <c r="L9" s="61"/>
    </row>
    <row r="10" spans="1:12" ht="15">
      <c r="A10" s="49"/>
      <c r="B10" s="62"/>
      <c r="C10" s="39"/>
      <c r="D10" s="63" t="s">
        <v>4</v>
      </c>
      <c r="E10" s="37"/>
      <c r="F10" s="37" t="s">
        <v>37</v>
      </c>
      <c r="G10" s="37" t="s">
        <v>38</v>
      </c>
      <c r="H10" s="38"/>
      <c r="I10" s="39"/>
      <c r="J10" s="64"/>
      <c r="K10" s="15"/>
      <c r="L10" s="61"/>
    </row>
    <row r="11" spans="1:12" ht="13.5" thickBot="1">
      <c r="A11" s="49"/>
      <c r="B11" s="65"/>
      <c r="C11" s="41"/>
      <c r="D11" s="42"/>
      <c r="E11" s="555"/>
      <c r="F11" s="555"/>
      <c r="G11" s="44"/>
      <c r="H11" s="45"/>
      <c r="I11" s="41"/>
      <c r="J11" s="66"/>
      <c r="K11" s="15"/>
      <c r="L11" s="61"/>
    </row>
    <row r="12" spans="1:12" ht="15">
      <c r="A12" s="121"/>
      <c r="B12" s="40"/>
      <c r="C12" s="62"/>
      <c r="D12" s="50" t="s">
        <v>5</v>
      </c>
      <c r="E12" s="37"/>
      <c r="F12" s="37" t="s">
        <v>39</v>
      </c>
      <c r="G12" s="37" t="s">
        <v>40</v>
      </c>
      <c r="H12" s="38"/>
      <c r="I12" s="67"/>
      <c r="J12" s="79"/>
      <c r="K12" s="119"/>
      <c r="L12" s="61"/>
    </row>
    <row r="13" spans="1:12" ht="13.5" thickBot="1">
      <c r="A13" s="120"/>
      <c r="B13" s="40"/>
      <c r="C13" s="39"/>
      <c r="D13" s="60"/>
      <c r="E13" s="16"/>
      <c r="F13" s="16"/>
      <c r="G13" s="16"/>
      <c r="H13" s="13"/>
      <c r="I13" s="69"/>
      <c r="J13" s="79"/>
      <c r="K13" s="120"/>
      <c r="L13" s="61"/>
    </row>
    <row r="14" spans="1:12" ht="15">
      <c r="A14" s="70"/>
      <c r="B14" s="40"/>
      <c r="C14" s="39"/>
      <c r="D14" s="63" t="s">
        <v>6</v>
      </c>
      <c r="E14" s="37"/>
      <c r="F14" s="37" t="s">
        <v>41</v>
      </c>
      <c r="G14" s="37" t="s">
        <v>42</v>
      </c>
      <c r="H14" s="38"/>
      <c r="I14" s="69"/>
      <c r="J14" s="68"/>
      <c r="K14" s="116"/>
      <c r="L14" s="61"/>
    </row>
    <row r="15" spans="1:12" ht="15">
      <c r="A15" s="49"/>
      <c r="B15" s="40"/>
      <c r="C15" s="41"/>
      <c r="D15" s="42"/>
      <c r="E15" s="16"/>
      <c r="F15" s="16"/>
      <c r="G15" s="16"/>
      <c r="H15" s="45"/>
      <c r="I15" s="41" t="s">
        <v>41</v>
      </c>
      <c r="J15" s="68"/>
      <c r="K15" s="61"/>
      <c r="L15" s="61"/>
    </row>
    <row r="16" spans="1:12" ht="15">
      <c r="A16" s="49"/>
      <c r="B16" s="49"/>
      <c r="C16" s="39"/>
      <c r="D16" s="50" t="s">
        <v>7</v>
      </c>
      <c r="E16" s="37"/>
      <c r="F16" s="52" t="s">
        <v>3</v>
      </c>
      <c r="G16" s="37"/>
      <c r="H16" s="38"/>
      <c r="I16" s="71"/>
      <c r="J16" s="66"/>
      <c r="K16" s="61"/>
      <c r="L16" s="61"/>
    </row>
    <row r="17" spans="1:12" ht="15">
      <c r="A17" s="49"/>
      <c r="B17" s="41"/>
      <c r="C17" s="59"/>
      <c r="D17" s="60"/>
      <c r="E17" s="16"/>
      <c r="F17" s="16"/>
      <c r="G17" s="16"/>
      <c r="H17" s="13"/>
      <c r="I17" s="68"/>
      <c r="J17" s="41"/>
      <c r="K17" s="55"/>
      <c r="L17" s="61"/>
    </row>
    <row r="18" spans="1:12" ht="15">
      <c r="A18" s="40"/>
      <c r="B18" s="62"/>
      <c r="C18" s="39"/>
      <c r="D18" s="63" t="s">
        <v>8</v>
      </c>
      <c r="E18" s="37"/>
      <c r="F18" s="52" t="s">
        <v>3</v>
      </c>
      <c r="G18" s="37"/>
      <c r="H18" s="38"/>
      <c r="I18" s="69"/>
      <c r="J18" s="72"/>
      <c r="K18" s="61"/>
      <c r="L18" s="61"/>
    </row>
    <row r="19" spans="1:12" ht="15">
      <c r="A19" s="40"/>
      <c r="B19" s="49"/>
      <c r="C19" s="41"/>
      <c r="D19" s="42"/>
      <c r="E19" s="16"/>
      <c r="F19" s="16"/>
      <c r="G19" s="16"/>
      <c r="H19" s="45"/>
      <c r="I19" s="41" t="s">
        <v>35</v>
      </c>
      <c r="J19" s="72"/>
      <c r="K19" s="61"/>
      <c r="L19" s="44"/>
    </row>
    <row r="20" spans="1:12" ht="15">
      <c r="A20" s="40"/>
      <c r="B20" s="39"/>
      <c r="C20" s="39"/>
      <c r="D20" s="50" t="s">
        <v>9</v>
      </c>
      <c r="E20" s="37"/>
      <c r="F20" s="37" t="s">
        <v>35</v>
      </c>
      <c r="G20" s="37" t="s">
        <v>36</v>
      </c>
      <c r="H20" s="38"/>
      <c r="I20" s="67"/>
      <c r="J20" s="69"/>
      <c r="K20" s="61"/>
      <c r="L20" s="61"/>
    </row>
    <row r="21" spans="1:12" ht="15">
      <c r="A21" s="40"/>
      <c r="B21" s="40"/>
      <c r="C21" s="40"/>
      <c r="D21" s="44"/>
      <c r="E21" s="44"/>
      <c r="F21" s="44"/>
      <c r="G21" s="44"/>
      <c r="H21" s="80"/>
      <c r="I21" s="76"/>
      <c r="J21" s="549"/>
      <c r="K21" s="549"/>
      <c r="L21" s="549"/>
    </row>
    <row r="22" spans="1:12" ht="13.5" customHeight="1">
      <c r="A22" s="550"/>
      <c r="B22" s="81"/>
      <c r="C22" s="40"/>
      <c r="D22" s="82"/>
      <c r="E22" s="44"/>
      <c r="F22" s="82"/>
      <c r="G22" s="83"/>
      <c r="H22" s="84"/>
      <c r="I22" s="85"/>
      <c r="J22" s="551"/>
      <c r="K22" s="551"/>
      <c r="L22" s="551"/>
    </row>
    <row r="23" spans="1:12" ht="12.75" customHeight="1">
      <c r="A23" s="550"/>
      <c r="B23" s="81"/>
      <c r="C23" s="40"/>
      <c r="D23" s="86"/>
      <c r="E23" s="87"/>
      <c r="F23" s="87"/>
      <c r="G23" s="88"/>
      <c r="H23" s="89"/>
      <c r="I23" s="85"/>
      <c r="J23" s="551"/>
      <c r="K23" s="551"/>
      <c r="L23" s="551"/>
    </row>
    <row r="24" spans="1:12" ht="13.5" customHeight="1">
      <c r="A24" s="81"/>
      <c r="B24" s="81"/>
      <c r="C24" s="40"/>
      <c r="D24" s="90"/>
      <c r="E24" s="90"/>
      <c r="F24" s="90"/>
      <c r="G24" s="76"/>
      <c r="H24" s="91"/>
      <c r="I24" s="76"/>
      <c r="J24" s="92"/>
      <c r="K24" s="92"/>
      <c r="L24" s="93"/>
    </row>
    <row r="25" spans="1:12" ht="15">
      <c r="A25" s="40"/>
      <c r="B25" s="40"/>
      <c r="C25" s="40"/>
      <c r="D25" s="94"/>
      <c r="E25" s="94"/>
      <c r="F25" s="95"/>
      <c r="G25" s="96"/>
      <c r="H25" s="97"/>
      <c r="I25" s="98"/>
      <c r="J25" s="99"/>
      <c r="K25" s="100"/>
      <c r="L25" s="100"/>
    </row>
    <row r="26" spans="1:12" ht="15">
      <c r="A26" s="40"/>
      <c r="B26" s="40"/>
      <c r="C26" s="40"/>
      <c r="D26" s="77"/>
      <c r="E26" s="74"/>
      <c r="F26" s="74"/>
      <c r="G26" s="74"/>
      <c r="H26" s="78"/>
      <c r="I26" s="61"/>
      <c r="J26" s="61"/>
      <c r="K26" s="61"/>
      <c r="L26" s="61"/>
    </row>
    <row r="27" spans="1:12" ht="15">
      <c r="A27" s="40"/>
      <c r="B27" s="40"/>
      <c r="C27" s="101"/>
      <c r="D27" s="77"/>
      <c r="E27" s="43"/>
      <c r="F27" s="44"/>
      <c r="G27" s="44"/>
      <c r="H27" s="89"/>
      <c r="I27" s="75"/>
      <c r="J27" s="61"/>
      <c r="K27" s="61"/>
      <c r="L27" s="61"/>
    </row>
    <row r="28" spans="1:12" ht="15">
      <c r="A28" s="40"/>
      <c r="B28" s="40"/>
      <c r="C28" s="40"/>
      <c r="D28" s="77"/>
      <c r="E28" s="102"/>
      <c r="F28" s="103"/>
      <c r="G28" s="102"/>
      <c r="H28" s="104"/>
      <c r="I28" s="40"/>
      <c r="J28" s="61"/>
      <c r="K28" s="61"/>
      <c r="L28" s="61"/>
    </row>
    <row r="29" spans="1:12" ht="15">
      <c r="A29" s="40"/>
      <c r="B29" s="75"/>
      <c r="C29" s="40"/>
      <c r="D29" s="105"/>
      <c r="E29" s="44"/>
      <c r="F29" s="44"/>
      <c r="G29" s="44"/>
      <c r="H29" s="89"/>
      <c r="I29" s="40"/>
      <c r="J29" s="75"/>
      <c r="K29" s="61"/>
      <c r="L29" s="61"/>
    </row>
    <row r="30" spans="1:12" ht="15">
      <c r="A30" s="40"/>
      <c r="B30" s="40"/>
      <c r="C30" s="40"/>
      <c r="D30" s="77"/>
      <c r="E30" s="74"/>
      <c r="F30" s="74"/>
      <c r="G30" s="74"/>
      <c r="H30" s="78"/>
      <c r="I30" s="40"/>
      <c r="J30" s="61"/>
      <c r="K30" s="61"/>
      <c r="L30" s="61"/>
    </row>
    <row r="31" spans="1:12" ht="15">
      <c r="A31" s="40"/>
      <c r="B31" s="40"/>
      <c r="C31" s="75"/>
      <c r="D31" s="77"/>
      <c r="E31" s="44"/>
      <c r="F31" s="43"/>
      <c r="G31" s="44"/>
      <c r="H31" s="89"/>
      <c r="I31" s="75"/>
      <c r="J31" s="61"/>
      <c r="K31" s="61"/>
      <c r="L31" s="61"/>
    </row>
    <row r="32" spans="1:12" ht="15">
      <c r="A32" s="40"/>
      <c r="B32" s="40"/>
      <c r="C32" s="40"/>
      <c r="D32" s="77"/>
      <c r="E32" s="74"/>
      <c r="F32" s="74"/>
      <c r="G32" s="74"/>
      <c r="H32" s="78"/>
      <c r="I32" s="79"/>
      <c r="J32" s="61"/>
      <c r="K32" s="61"/>
      <c r="L32" s="61"/>
    </row>
    <row r="33" spans="1:12" ht="15">
      <c r="A33" s="75"/>
      <c r="B33" s="40"/>
      <c r="C33" s="40"/>
      <c r="D33" s="77"/>
      <c r="E33" s="44"/>
      <c r="F33" s="44"/>
      <c r="G33" s="44"/>
      <c r="H33" s="89"/>
      <c r="I33" s="79"/>
      <c r="J33" s="61"/>
      <c r="K33" s="75"/>
      <c r="L33" s="61"/>
    </row>
    <row r="34" spans="1:12" ht="15">
      <c r="A34" s="40"/>
      <c r="B34" s="40"/>
      <c r="C34" s="40"/>
      <c r="D34" s="77"/>
      <c r="E34" s="74"/>
      <c r="F34" s="74"/>
      <c r="G34" s="74"/>
      <c r="H34" s="78"/>
      <c r="I34" s="79"/>
      <c r="J34" s="61"/>
      <c r="K34" s="61"/>
      <c r="L34" s="61"/>
    </row>
    <row r="35" spans="1:12" ht="15">
      <c r="A35" s="40"/>
      <c r="B35" s="40"/>
      <c r="C35" s="75"/>
      <c r="D35" s="105"/>
      <c r="E35" s="44"/>
      <c r="F35" s="44"/>
      <c r="G35" s="44"/>
      <c r="H35" s="89"/>
      <c r="I35" s="75"/>
      <c r="J35" s="61"/>
      <c r="K35" s="61"/>
      <c r="L35" s="61"/>
    </row>
    <row r="36" spans="1:12" ht="15">
      <c r="A36" s="40"/>
      <c r="B36" s="40"/>
      <c r="C36" s="40"/>
      <c r="D36" s="77"/>
      <c r="E36" s="74"/>
      <c r="F36" s="74"/>
      <c r="G36" s="74"/>
      <c r="H36" s="78"/>
      <c r="I36" s="40"/>
      <c r="J36" s="61"/>
      <c r="K36" s="61"/>
      <c r="L36" s="61"/>
    </row>
    <row r="37" spans="1:12" ht="15">
      <c r="A37" s="40"/>
      <c r="B37" s="75"/>
      <c r="C37" s="40"/>
      <c r="D37" s="77"/>
      <c r="E37" s="44"/>
      <c r="F37" s="44"/>
      <c r="G37" s="44"/>
      <c r="H37" s="89"/>
      <c r="I37" s="40"/>
      <c r="J37" s="75"/>
      <c r="K37" s="61"/>
      <c r="L37" s="61"/>
    </row>
    <row r="38" spans="1:12" ht="12.75" customHeight="1">
      <c r="A38" s="40"/>
      <c r="B38" s="40"/>
      <c r="C38" s="40"/>
      <c r="D38" s="77"/>
      <c r="E38" s="74"/>
      <c r="F38" s="74"/>
      <c r="G38" s="74"/>
      <c r="H38" s="78"/>
      <c r="I38" s="40"/>
      <c r="J38" s="61"/>
      <c r="K38" s="61"/>
      <c r="L38" s="61"/>
    </row>
    <row r="39" spans="1:12" ht="15">
      <c r="A39" s="40"/>
      <c r="B39" s="40"/>
      <c r="C39" s="75"/>
      <c r="D39" s="77"/>
      <c r="E39" s="44"/>
      <c r="F39" s="44"/>
      <c r="G39" s="44"/>
      <c r="H39" s="89"/>
      <c r="I39" s="75"/>
      <c r="J39" s="61"/>
      <c r="K39" s="61"/>
      <c r="L39" s="61"/>
    </row>
    <row r="40" spans="1:12" ht="15">
      <c r="A40" s="40"/>
      <c r="B40" s="40"/>
      <c r="C40" s="40"/>
      <c r="D40" s="77"/>
      <c r="E40" s="74"/>
      <c r="F40" s="74"/>
      <c r="G40" s="74"/>
      <c r="H40" s="78"/>
      <c r="I40" s="40"/>
      <c r="J40" s="61"/>
      <c r="K40" s="61"/>
      <c r="L40" s="61"/>
    </row>
    <row r="41" spans="1:13" ht="15">
      <c r="A41" s="40"/>
      <c r="B41" s="40"/>
      <c r="C41" s="40"/>
      <c r="D41" s="77"/>
      <c r="E41" s="44"/>
      <c r="F41" s="44"/>
      <c r="G41" s="44"/>
      <c r="H41" s="89"/>
      <c r="I41" s="40"/>
      <c r="J41" s="61"/>
      <c r="K41" s="61"/>
      <c r="L41" s="74"/>
      <c r="M41" s="106"/>
    </row>
    <row r="42" spans="1:12" ht="15">
      <c r="A42" s="40"/>
      <c r="B42" s="40"/>
      <c r="C42" s="40"/>
      <c r="D42" s="77"/>
      <c r="E42" s="74"/>
      <c r="F42" s="74"/>
      <c r="G42" s="74"/>
      <c r="H42" s="78"/>
      <c r="I42" s="107"/>
      <c r="J42" s="61"/>
      <c r="K42" s="61"/>
      <c r="L42" s="61"/>
    </row>
    <row r="43" spans="1:12" ht="16.5" customHeight="1">
      <c r="A43" s="40"/>
      <c r="B43" s="40"/>
      <c r="C43" s="75"/>
      <c r="D43" s="77"/>
      <c r="E43" s="43"/>
      <c r="F43" s="44"/>
      <c r="G43" s="44"/>
      <c r="H43" s="89"/>
      <c r="I43" s="75"/>
      <c r="J43" s="61"/>
      <c r="K43" s="61"/>
      <c r="L43" s="61"/>
    </row>
    <row r="44" spans="1:12" ht="15">
      <c r="A44" s="40"/>
      <c r="B44" s="40"/>
      <c r="C44" s="40"/>
      <c r="D44" s="77"/>
      <c r="E44" s="102"/>
      <c r="F44" s="74"/>
      <c r="G44" s="74"/>
      <c r="H44" s="78"/>
      <c r="I44" s="79"/>
      <c r="J44" s="61"/>
      <c r="K44" s="61"/>
      <c r="L44" s="61"/>
    </row>
    <row r="45" spans="1:12" ht="15">
      <c r="A45" s="40"/>
      <c r="B45" s="75"/>
      <c r="C45" s="40"/>
      <c r="D45" s="77"/>
      <c r="E45" s="44"/>
      <c r="F45" s="44"/>
      <c r="G45" s="44"/>
      <c r="H45" s="89"/>
      <c r="I45" s="79"/>
      <c r="J45" s="75"/>
      <c r="K45" s="61"/>
      <c r="L45" s="61"/>
    </row>
    <row r="46" spans="1:12" ht="15">
      <c r="A46" s="40"/>
      <c r="B46" s="40"/>
      <c r="C46" s="40"/>
      <c r="D46" s="77"/>
      <c r="E46" s="74"/>
      <c r="F46" s="74"/>
      <c r="G46" s="74"/>
      <c r="H46" s="78"/>
      <c r="I46" s="79"/>
      <c r="J46" s="61"/>
      <c r="K46" s="61"/>
      <c r="L46" s="61"/>
    </row>
    <row r="47" spans="1:12" ht="15">
      <c r="A47" s="40"/>
      <c r="B47" s="40"/>
      <c r="C47" s="75"/>
      <c r="D47" s="77"/>
      <c r="E47" s="44"/>
      <c r="F47" s="44"/>
      <c r="G47" s="44"/>
      <c r="H47" s="89"/>
      <c r="I47" s="75"/>
      <c r="J47" s="61"/>
      <c r="K47" s="61"/>
      <c r="L47" s="61"/>
    </row>
    <row r="48" spans="1:12" ht="15">
      <c r="A48" s="40"/>
      <c r="B48" s="40"/>
      <c r="C48" s="40"/>
      <c r="D48" s="77"/>
      <c r="E48" s="74"/>
      <c r="F48" s="74"/>
      <c r="G48" s="74"/>
      <c r="H48" s="78"/>
      <c r="I48" s="79"/>
      <c r="J48" s="61"/>
      <c r="K48" s="61"/>
      <c r="L48" s="61"/>
    </row>
    <row r="49" spans="1:12" ht="15">
      <c r="A49" s="75"/>
      <c r="B49" s="40"/>
      <c r="C49" s="40"/>
      <c r="D49" s="77"/>
      <c r="E49" s="44"/>
      <c r="F49" s="44"/>
      <c r="G49" s="44"/>
      <c r="H49" s="89"/>
      <c r="I49" s="40"/>
      <c r="J49" s="61"/>
      <c r="K49" s="75"/>
      <c r="L49" s="61"/>
    </row>
    <row r="50" spans="1:12" ht="15">
      <c r="A50" s="40"/>
      <c r="B50" s="40"/>
      <c r="C50" s="40"/>
      <c r="D50" s="77"/>
      <c r="E50" s="102"/>
      <c r="F50" s="108"/>
      <c r="G50" s="108"/>
      <c r="H50" s="78"/>
      <c r="I50" s="40"/>
      <c r="J50" s="61"/>
      <c r="K50" s="61"/>
      <c r="L50" s="61"/>
    </row>
    <row r="51" spans="1:12" ht="15">
      <c r="A51" s="40"/>
      <c r="B51" s="40"/>
      <c r="C51" s="101"/>
      <c r="D51" s="77"/>
      <c r="E51" s="105"/>
      <c r="F51" s="44"/>
      <c r="G51" s="44"/>
      <c r="H51" s="89"/>
      <c r="I51" s="75"/>
      <c r="J51" s="61"/>
      <c r="K51" s="61"/>
      <c r="L51" s="61"/>
    </row>
    <row r="52" spans="1:12" ht="15">
      <c r="A52" s="40"/>
      <c r="B52" s="40"/>
      <c r="C52" s="40"/>
      <c r="D52" s="77"/>
      <c r="E52" s="74"/>
      <c r="F52" s="74"/>
      <c r="G52" s="74"/>
      <c r="H52" s="78"/>
      <c r="I52" s="40"/>
      <c r="J52" s="61"/>
      <c r="K52" s="61"/>
      <c r="L52" s="76"/>
    </row>
    <row r="53" spans="1:12" ht="15">
      <c r="A53" s="40"/>
      <c r="B53" s="101"/>
      <c r="C53" s="40"/>
      <c r="D53" s="77"/>
      <c r="E53" s="44"/>
      <c r="F53" s="44"/>
      <c r="G53" s="44"/>
      <c r="H53" s="89"/>
      <c r="I53" s="40"/>
      <c r="J53" s="75"/>
      <c r="K53" s="61"/>
      <c r="L53" s="76"/>
    </row>
    <row r="54" spans="1:12" ht="15">
      <c r="A54" s="40"/>
      <c r="B54" s="40"/>
      <c r="C54" s="40"/>
      <c r="D54" s="77"/>
      <c r="E54" s="102"/>
      <c r="F54" s="103"/>
      <c r="G54" s="102"/>
      <c r="H54" s="104"/>
      <c r="I54" s="40"/>
      <c r="J54" s="61"/>
      <c r="K54" s="61"/>
      <c r="L54" s="76"/>
    </row>
    <row r="55" spans="1:12" ht="15">
      <c r="A55" s="40"/>
      <c r="B55" s="40"/>
      <c r="C55" s="109"/>
      <c r="D55" s="77"/>
      <c r="E55" s="552"/>
      <c r="F55" s="553"/>
      <c r="G55" s="44"/>
      <c r="H55" s="89"/>
      <c r="I55" s="75"/>
      <c r="J55" s="61"/>
      <c r="K55" s="110"/>
      <c r="L55" s="111"/>
    </row>
    <row r="56" spans="1:12" ht="15">
      <c r="A56" s="40"/>
      <c r="B56" s="40"/>
      <c r="C56" s="40"/>
      <c r="D56" s="77"/>
      <c r="E56" s="74"/>
      <c r="F56" s="74"/>
      <c r="G56" s="74"/>
      <c r="H56" s="78"/>
      <c r="I56" s="40"/>
      <c r="J56" s="61"/>
      <c r="K56" s="110"/>
      <c r="L56" s="111"/>
    </row>
    <row r="57" spans="1:12" ht="15">
      <c r="A57" s="1"/>
      <c r="B57" s="2"/>
      <c r="C57" s="1"/>
      <c r="D57" s="112"/>
      <c r="E57" s="113"/>
      <c r="F57" s="113"/>
      <c r="G57" s="113"/>
      <c r="H57" s="114"/>
      <c r="I57" s="48"/>
      <c r="J57" s="48"/>
      <c r="K57" s="48"/>
      <c r="L57" s="48"/>
    </row>
    <row r="58" spans="1:12" ht="15">
      <c r="A58" s="1"/>
      <c r="B58" s="2"/>
      <c r="C58" s="1"/>
      <c r="D58" s="112"/>
      <c r="E58" s="113"/>
      <c r="F58" s="113"/>
      <c r="G58" s="113"/>
      <c r="H58" s="114"/>
      <c r="I58" s="48"/>
      <c r="J58" s="48"/>
      <c r="K58" s="48"/>
      <c r="L58" s="48"/>
    </row>
  </sheetData>
  <mergeCells count="7">
    <mergeCell ref="A22:A23"/>
    <mergeCell ref="J22:L23"/>
    <mergeCell ref="E55:F55"/>
    <mergeCell ref="D2:E2"/>
    <mergeCell ref="E9:F9"/>
    <mergeCell ref="E11:F11"/>
    <mergeCell ref="J21:L21"/>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anjar</dc:creator>
  <cp:keywords/>
  <dc:description/>
  <cp:lastModifiedBy>anjar</cp:lastModifiedBy>
  <dcterms:created xsi:type="dcterms:W3CDTF">2019-09-12T09:53:12Z</dcterms:created>
  <dcterms:modified xsi:type="dcterms:W3CDTF">2019-09-12T12:45:51Z</dcterms:modified>
  <cp:category/>
  <cp:version/>
  <cp:contentType/>
  <cp:contentStatus/>
</cp:coreProperties>
</file>